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/>
  <mc:AlternateContent xmlns:mc="http://schemas.openxmlformats.org/markup-compatibility/2006">
    <mc:Choice Requires="x15">
      <x15ac:absPath xmlns:x15ac="http://schemas.microsoft.com/office/spreadsheetml/2010/11/ac" url="/Users/rickclark/My Files/Scouts Area 3/5 Year Modeling 2020/"/>
    </mc:Choice>
  </mc:AlternateContent>
  <xr:revisionPtr revIDLastSave="0" documentId="13_ncr:1_{67638E8F-D4D5-5C47-9D44-67AD296A2F17}" xr6:coauthVersionLast="45" xr6:coauthVersionMax="45" xr10:uidLastSave="{00000000-0000-0000-0000-000000000000}"/>
  <bookViews>
    <workbookView xWindow="0" yWindow="460" windowWidth="25600" windowHeight="14740" tabRatio="642" activeTab="2" xr2:uid="{00000000-000D-0000-FFFF-FFFF00000000}"/>
  </bookViews>
  <sheets>
    <sheet name="Instructions" sheetId="8" r:id="rId1"/>
    <sheet name="Color Guide" sheetId="11" r:id="rId2"/>
    <sheet name="Setup" sheetId="2" r:id="rId3"/>
    <sheet name="Membership History and Planning" sheetId="9" r:id="rId4"/>
    <sheet name="A. History Input &amp; Output" sheetId="1" r:id="rId5"/>
    <sheet name="B. Historical Growth" sheetId="6" r:id="rId6"/>
    <sheet name="C. Endowment Investments" sheetId="7" r:id="rId7"/>
    <sheet name="D. Growth Plan" sheetId="4" r:id="rId8"/>
    <sheet name="E. Output" sheetId="5" r:id="rId9"/>
    <sheet name="Sheet1" sheetId="10" r:id="rId10"/>
  </sheets>
  <definedNames>
    <definedName name="_xlnm.Print_Area" localSheetId="4">'A. History Input &amp; Output'!$A$1:$AB$70</definedName>
    <definedName name="_xlnm.Print_Area" localSheetId="5">'B. Historical Growth'!$A$1:$P$32</definedName>
    <definedName name="_xlnm.Print_Area" localSheetId="6">'C. Endowment Investments'!$A$1:$N$37</definedName>
    <definedName name="_xlnm.Print_Area" localSheetId="7">'D. Growth Plan'!$A$1:$Q$38</definedName>
    <definedName name="_xlnm.Print_Area" localSheetId="8">'E. Output'!$A$2:$L$41</definedName>
    <definedName name="_xlnm.Print_Area" localSheetId="0">Instructions!$B$2:$B$54</definedName>
    <definedName name="_xlnm.Print_Area" localSheetId="3">'Membership History and Planning'!$A$1:$AG$35</definedName>
    <definedName name="_xlnm.Print_Area" localSheetId="2">Setup!$A$1:$D$31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4" l="1"/>
  <c r="C21" i="9" l="1"/>
  <c r="M42" i="1" l="1"/>
  <c r="O8" i="1"/>
  <c r="K9" i="7" l="1"/>
  <c r="K11" i="7"/>
  <c r="K42" i="1" l="1"/>
  <c r="I43" i="1"/>
  <c r="K26" i="1" l="1"/>
  <c r="K34" i="1"/>
  <c r="K13" i="1"/>
  <c r="K8" i="1"/>
  <c r="I10" i="7" l="1"/>
  <c r="E9" i="7"/>
  <c r="M34" i="1"/>
  <c r="M26" i="1"/>
  <c r="M21" i="1"/>
  <c r="M8" i="1"/>
  <c r="K25" i="1" l="1"/>
  <c r="I25" i="1"/>
  <c r="G25" i="1"/>
  <c r="E25" i="1"/>
  <c r="C25" i="1"/>
  <c r="G20" i="1"/>
  <c r="C20" i="1"/>
  <c r="K17" i="1"/>
  <c r="I17" i="1"/>
  <c r="G17" i="1"/>
  <c r="E17" i="1"/>
  <c r="C17" i="1"/>
  <c r="I14" i="1"/>
  <c r="C14" i="1"/>
  <c r="G10" i="1"/>
  <c r="K14" i="1"/>
  <c r="G8" i="1"/>
  <c r="G14" i="1" s="1"/>
  <c r="E8" i="1"/>
  <c r="E14" i="1" s="1"/>
  <c r="C43" i="1"/>
  <c r="I42" i="1"/>
  <c r="G42" i="1"/>
  <c r="F15" i="9"/>
  <c r="E15" i="9"/>
  <c r="D15" i="9"/>
  <c r="C15" i="9"/>
  <c r="F17" i="9" l="1"/>
  <c r="E17" i="9"/>
  <c r="D17" i="9"/>
  <c r="C17" i="9"/>
  <c r="I32" i="7" l="1"/>
  <c r="C4" i="9" l="1"/>
  <c r="G27" i="1" l="1"/>
  <c r="E27" i="1"/>
  <c r="K27" i="1"/>
  <c r="K29" i="1" l="1"/>
  <c r="E29" i="1"/>
  <c r="C27" i="1"/>
  <c r="G29" i="1"/>
  <c r="I27" i="1"/>
  <c r="I29" i="1" s="1"/>
  <c r="H19" i="1" l="1"/>
  <c r="H18" i="1"/>
  <c r="H15" i="1"/>
  <c r="H24" i="1"/>
  <c r="H22" i="1"/>
  <c r="H12" i="1"/>
  <c r="H26" i="1"/>
  <c r="H16" i="1"/>
  <c r="H23" i="1"/>
  <c r="H21" i="1"/>
  <c r="H13" i="1"/>
  <c r="H11" i="1"/>
  <c r="H25" i="1"/>
  <c r="H9" i="1"/>
  <c r="H14" i="1"/>
  <c r="H8" i="1"/>
  <c r="H17" i="1"/>
  <c r="H10" i="1"/>
  <c r="H20" i="1"/>
  <c r="J26" i="1"/>
  <c r="J16" i="1"/>
  <c r="J15" i="1"/>
  <c r="J13" i="1"/>
  <c r="J11" i="1"/>
  <c r="J9" i="1"/>
  <c r="J19" i="1"/>
  <c r="J18" i="1"/>
  <c r="J8" i="1"/>
  <c r="J24" i="1"/>
  <c r="J23" i="1"/>
  <c r="J22" i="1"/>
  <c r="J21" i="1"/>
  <c r="J20" i="1"/>
  <c r="J12" i="1"/>
  <c r="J10" i="1"/>
  <c r="J25" i="1"/>
  <c r="J14" i="1"/>
  <c r="J17" i="1"/>
  <c r="F20" i="1"/>
  <c r="F10" i="1"/>
  <c r="F9" i="1"/>
  <c r="F15" i="1"/>
  <c r="F23" i="1"/>
  <c r="F21" i="1"/>
  <c r="F12" i="1"/>
  <c r="F19" i="1"/>
  <c r="F18" i="1"/>
  <c r="F26" i="1"/>
  <c r="F16" i="1"/>
  <c r="F24" i="1"/>
  <c r="F22" i="1"/>
  <c r="F13" i="1"/>
  <c r="F11" i="1"/>
  <c r="F17" i="1"/>
  <c r="F8" i="1"/>
  <c r="F14" i="1"/>
  <c r="F25" i="1"/>
  <c r="F27" i="1"/>
  <c r="J29" i="1"/>
  <c r="J28" i="1"/>
  <c r="H28" i="1"/>
  <c r="H29" i="1"/>
  <c r="H27" i="1"/>
  <c r="C29" i="1"/>
  <c r="J27" i="1"/>
  <c r="F29" i="1"/>
  <c r="F28" i="1"/>
  <c r="D24" i="1" l="1"/>
  <c r="D23" i="1"/>
  <c r="D22" i="1"/>
  <c r="D21" i="1"/>
  <c r="D13" i="1"/>
  <c r="D12" i="1"/>
  <c r="D11" i="1"/>
  <c r="D8" i="1"/>
  <c r="D10" i="1"/>
  <c r="D19" i="1"/>
  <c r="D18" i="1"/>
  <c r="D26" i="1"/>
  <c r="D25" i="1"/>
  <c r="D16" i="1"/>
  <c r="D14" i="1"/>
  <c r="D9" i="1"/>
  <c r="D15" i="1"/>
  <c r="D20" i="1"/>
  <c r="D17" i="1"/>
  <c r="D29" i="1"/>
  <c r="D28" i="1"/>
  <c r="D27" i="1"/>
  <c r="M25" i="1" l="1"/>
  <c r="C31" i="7" l="1"/>
  <c r="C4" i="1"/>
  <c r="K35" i="1"/>
  <c r="K36" i="1" s="1"/>
  <c r="K37" i="1" s="1"/>
  <c r="I35" i="1"/>
  <c r="G35" i="1"/>
  <c r="G36" i="1" s="1"/>
  <c r="E35" i="1"/>
  <c r="E36" i="1" s="1"/>
  <c r="C35" i="1"/>
  <c r="E20" i="7"/>
  <c r="C29" i="7"/>
  <c r="AE15" i="9"/>
  <c r="AE17" i="9" s="1"/>
  <c r="AA15" i="9"/>
  <c r="AA17" i="9" s="1"/>
  <c r="W15" i="9"/>
  <c r="W17" i="9" s="1"/>
  <c r="S15" i="9"/>
  <c r="S17" i="9" s="1"/>
  <c r="O15" i="9"/>
  <c r="O17" i="9" s="1"/>
  <c r="K52" i="1"/>
  <c r="K10" i="9"/>
  <c r="Q10" i="9" s="1"/>
  <c r="S49" i="1" s="1"/>
  <c r="K12" i="9"/>
  <c r="Q12" i="9" s="1"/>
  <c r="U12" i="9" s="1"/>
  <c r="Y12" i="9" s="1"/>
  <c r="AC12" i="9" s="1"/>
  <c r="AG12" i="9" s="1"/>
  <c r="AA50" i="1" s="1"/>
  <c r="K14" i="9"/>
  <c r="Q14" i="9" s="1"/>
  <c r="U14" i="9" s="1"/>
  <c r="Y14" i="9" s="1"/>
  <c r="AC14" i="9" s="1"/>
  <c r="AG14" i="9" s="1"/>
  <c r="AF14" i="9" s="1"/>
  <c r="K16" i="9"/>
  <c r="Q16" i="9" s="1"/>
  <c r="D31" i="9"/>
  <c r="G66" i="1" s="1"/>
  <c r="G15" i="9"/>
  <c r="G17" i="9" s="1"/>
  <c r="S45" i="1"/>
  <c r="C45" i="1"/>
  <c r="B2" i="8"/>
  <c r="C12" i="7"/>
  <c r="E8" i="7" s="1"/>
  <c r="E12" i="7" s="1"/>
  <c r="G8" i="7" s="1"/>
  <c r="E29" i="7"/>
  <c r="E21" i="7"/>
  <c r="E32" i="7"/>
  <c r="E34" i="7"/>
  <c r="G29" i="7"/>
  <c r="G21" i="7"/>
  <c r="G20" i="7"/>
  <c r="G32" i="7"/>
  <c r="G34" i="7"/>
  <c r="I29" i="7"/>
  <c r="I21" i="7"/>
  <c r="I20" i="7"/>
  <c r="I34" i="7"/>
  <c r="K29" i="7"/>
  <c r="K21" i="7"/>
  <c r="K20" i="7"/>
  <c r="K32" i="7"/>
  <c r="K34" i="7"/>
  <c r="M29" i="7"/>
  <c r="M20" i="7"/>
  <c r="M21" i="7"/>
  <c r="K6" i="7"/>
  <c r="C26" i="7" s="1"/>
  <c r="S3" i="1"/>
  <c r="M53" i="1"/>
  <c r="M51" i="1"/>
  <c r="M49" i="1"/>
  <c r="M50" i="1"/>
  <c r="K53" i="1"/>
  <c r="K51" i="1"/>
  <c r="N51" i="1" s="1"/>
  <c r="K50" i="1"/>
  <c r="K49" i="1"/>
  <c r="I53" i="1"/>
  <c r="I51" i="1"/>
  <c r="I50" i="1"/>
  <c r="I49" i="1"/>
  <c r="J49" i="1" s="1"/>
  <c r="G53" i="1"/>
  <c r="G51" i="1"/>
  <c r="G50" i="1"/>
  <c r="G52" i="1"/>
  <c r="G49" i="1"/>
  <c r="E53" i="1"/>
  <c r="E51" i="1"/>
  <c r="E50" i="1"/>
  <c r="E49" i="1"/>
  <c r="E1" i="9"/>
  <c r="K5" i="5"/>
  <c r="I5" i="5"/>
  <c r="G5" i="5"/>
  <c r="E5" i="5"/>
  <c r="C5" i="5"/>
  <c r="F2" i="5"/>
  <c r="O5" i="4"/>
  <c r="L5" i="4"/>
  <c r="I5" i="4"/>
  <c r="F5" i="4"/>
  <c r="C5" i="4"/>
  <c r="G2" i="4"/>
  <c r="E18" i="7"/>
  <c r="K18" i="7" s="1"/>
  <c r="I6" i="7"/>
  <c r="G6" i="7"/>
  <c r="E6" i="7"/>
  <c r="C6" i="7"/>
  <c r="L3" i="6"/>
  <c r="J3" i="6"/>
  <c r="H3" i="6"/>
  <c r="F3" i="6"/>
  <c r="D3" i="6"/>
  <c r="H1" i="6"/>
  <c r="AA4" i="1"/>
  <c r="AA46" i="1" s="1"/>
  <c r="Y4" i="1"/>
  <c r="Y46" i="1" s="1"/>
  <c r="W4" i="1"/>
  <c r="W46" i="1" s="1"/>
  <c r="U4" i="1"/>
  <c r="U46" i="1" s="1"/>
  <c r="S4" i="1"/>
  <c r="S46" i="1" s="1"/>
  <c r="G2" i="1"/>
  <c r="O4" i="1"/>
  <c r="O46" i="1" s="1"/>
  <c r="M4" i="1"/>
  <c r="M46" i="1" s="1"/>
  <c r="K4" i="1"/>
  <c r="K46" i="1" s="1"/>
  <c r="I4" i="1"/>
  <c r="I46" i="1" s="1"/>
  <c r="G4" i="1"/>
  <c r="G46" i="1" s="1"/>
  <c r="E4" i="1"/>
  <c r="E46" i="1" s="1"/>
  <c r="K6" i="9"/>
  <c r="W6" i="9" s="1"/>
  <c r="G6" i="9"/>
  <c r="F6" i="9"/>
  <c r="E6" i="9"/>
  <c r="D6" i="9"/>
  <c r="C6" i="9"/>
  <c r="O35" i="1"/>
  <c r="C34" i="5" s="1"/>
  <c r="E34" i="5" s="1"/>
  <c r="O25" i="1"/>
  <c r="C23" i="5" s="1"/>
  <c r="S23" i="1" s="1"/>
  <c r="O17" i="1"/>
  <c r="O14" i="1"/>
  <c r="M35" i="1"/>
  <c r="M36" i="1" s="1"/>
  <c r="M14" i="1"/>
  <c r="M17" i="1"/>
  <c r="M27" i="1"/>
  <c r="F10" i="10"/>
  <c r="F15" i="10"/>
  <c r="F14" i="10"/>
  <c r="F13" i="10"/>
  <c r="F12" i="10"/>
  <c r="F11" i="10"/>
  <c r="I15" i="9"/>
  <c r="I17" i="9" s="1"/>
  <c r="C18" i="5"/>
  <c r="E18" i="5" s="1"/>
  <c r="G18" i="5" s="1"/>
  <c r="C19" i="5"/>
  <c r="C22" i="5"/>
  <c r="E22" i="5" s="1"/>
  <c r="G22" i="5" s="1"/>
  <c r="C24" i="5"/>
  <c r="S24" i="1" s="1"/>
  <c r="E24" i="5"/>
  <c r="E35" i="5" s="1"/>
  <c r="U35" i="1" s="1"/>
  <c r="G24" i="5"/>
  <c r="W24" i="1" s="1"/>
  <c r="I24" i="5"/>
  <c r="K24" i="5"/>
  <c r="AA24" i="1" s="1"/>
  <c r="C26" i="5"/>
  <c r="K21" i="5"/>
  <c r="AA21" i="1" s="1"/>
  <c r="C8" i="5"/>
  <c r="C9" i="5"/>
  <c r="E9" i="5" s="1"/>
  <c r="G9" i="5" s="1"/>
  <c r="C10" i="5"/>
  <c r="E10" i="5" s="1"/>
  <c r="G10" i="5" s="1"/>
  <c r="I10" i="5" s="1"/>
  <c r="C11" i="5"/>
  <c r="C12" i="5"/>
  <c r="E12" i="5" s="1"/>
  <c r="G12" i="5" s="1"/>
  <c r="C13" i="5"/>
  <c r="E13" i="5" s="1"/>
  <c r="G13" i="5" s="1"/>
  <c r="C15" i="5"/>
  <c r="S15" i="1" s="1"/>
  <c r="C16" i="5"/>
  <c r="E16" i="5" s="1"/>
  <c r="G16" i="5" s="1"/>
  <c r="W16" i="1" s="1"/>
  <c r="C28" i="5"/>
  <c r="E28" i="5" s="1"/>
  <c r="C33" i="5"/>
  <c r="Y24" i="1"/>
  <c r="I21" i="5"/>
  <c r="Y21" i="1" s="1"/>
  <c r="I35" i="5"/>
  <c r="Y35" i="1" s="1"/>
  <c r="G21" i="5"/>
  <c r="W21" i="1" s="1"/>
  <c r="E21" i="5"/>
  <c r="U21" i="1" s="1"/>
  <c r="S43" i="1"/>
  <c r="C21" i="5"/>
  <c r="S21" i="1" s="1"/>
  <c r="C35" i="5"/>
  <c r="O36" i="1"/>
  <c r="O37" i="1" s="1"/>
  <c r="P35" i="1" s="1"/>
  <c r="U43" i="1"/>
  <c r="W43" i="1"/>
  <c r="Y43" i="1"/>
  <c r="AA43" i="1"/>
  <c r="E52" i="1"/>
  <c r="M68" i="1"/>
  <c r="F21" i="9"/>
  <c r="K57" i="1" s="1"/>
  <c r="D22" i="9"/>
  <c r="G58" i="1" s="1"/>
  <c r="D25" i="9"/>
  <c r="G61" i="1" s="1"/>
  <c r="D21" i="9"/>
  <c r="G57" i="1" s="1"/>
  <c r="C22" i="9"/>
  <c r="E58" i="1" s="1"/>
  <c r="C25" i="9"/>
  <c r="E61" i="1" s="1"/>
  <c r="E57" i="1"/>
  <c r="F29" i="6"/>
  <c r="N29" i="6" s="1"/>
  <c r="F7" i="6"/>
  <c r="F8" i="6"/>
  <c r="P8" i="6" s="1"/>
  <c r="F9" i="6"/>
  <c r="N9" i="6" s="1"/>
  <c r="F10" i="6"/>
  <c r="N10" i="6" s="1"/>
  <c r="F11" i="6"/>
  <c r="P11" i="6" s="1"/>
  <c r="F12" i="6"/>
  <c r="F13" i="6"/>
  <c r="N13" i="6" s="1"/>
  <c r="F14" i="6"/>
  <c r="N14" i="6" s="1"/>
  <c r="F15" i="6"/>
  <c r="P15" i="6" s="1"/>
  <c r="F16" i="6"/>
  <c r="P16" i="6" s="1"/>
  <c r="F17" i="6"/>
  <c r="N17" i="6" s="1"/>
  <c r="F18" i="6"/>
  <c r="N18" i="6" s="1"/>
  <c r="F19" i="6"/>
  <c r="N19" i="6" s="1"/>
  <c r="F20" i="6"/>
  <c r="F21" i="6"/>
  <c r="P21" i="6" s="1"/>
  <c r="F22" i="6"/>
  <c r="N22" i="6" s="1"/>
  <c r="F23" i="6"/>
  <c r="F24" i="6"/>
  <c r="P24" i="6" s="1"/>
  <c r="F26" i="6"/>
  <c r="N26" i="6" s="1"/>
  <c r="F6" i="6"/>
  <c r="P6" i="6" s="1"/>
  <c r="L29" i="6"/>
  <c r="L7" i="6"/>
  <c r="L8" i="6"/>
  <c r="L9" i="6"/>
  <c r="L10" i="6"/>
  <c r="L11" i="6"/>
  <c r="L13" i="6"/>
  <c r="L14" i="6"/>
  <c r="L16" i="6"/>
  <c r="L17" i="6"/>
  <c r="L18" i="6"/>
  <c r="L19" i="6"/>
  <c r="L20" i="6"/>
  <c r="L21" i="6"/>
  <c r="L22" i="6"/>
  <c r="L24" i="6"/>
  <c r="L26" i="6"/>
  <c r="L6" i="6"/>
  <c r="J29" i="6"/>
  <c r="J7" i="6"/>
  <c r="J8" i="6"/>
  <c r="J9" i="6"/>
  <c r="J10" i="6"/>
  <c r="J11" i="6"/>
  <c r="J13" i="6"/>
  <c r="J14" i="6"/>
  <c r="J15" i="6"/>
  <c r="J16" i="6"/>
  <c r="J17" i="6"/>
  <c r="J18" i="6"/>
  <c r="J19" i="6"/>
  <c r="J20" i="6"/>
  <c r="J21" i="6"/>
  <c r="J22" i="6"/>
  <c r="J23" i="6"/>
  <c r="J24" i="6"/>
  <c r="J26" i="6"/>
  <c r="J6" i="6"/>
  <c r="H29" i="6"/>
  <c r="H7" i="6"/>
  <c r="H8" i="6"/>
  <c r="H9" i="6"/>
  <c r="H10" i="6"/>
  <c r="H11" i="6"/>
  <c r="H13" i="6"/>
  <c r="H14" i="6"/>
  <c r="H15" i="6"/>
  <c r="H16" i="6"/>
  <c r="H17" i="6"/>
  <c r="H18" i="6"/>
  <c r="H19" i="6"/>
  <c r="H20" i="6"/>
  <c r="H21" i="6"/>
  <c r="H22" i="6"/>
  <c r="H23" i="6"/>
  <c r="H24" i="6"/>
  <c r="H26" i="6"/>
  <c r="H6" i="6"/>
  <c r="D30" i="6"/>
  <c r="D29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4" i="6"/>
  <c r="D26" i="6"/>
  <c r="D7" i="6"/>
  <c r="D6" i="6"/>
  <c r="AM14" i="1"/>
  <c r="AM17" i="1"/>
  <c r="AM25" i="1"/>
  <c r="AM27" i="1" s="1"/>
  <c r="AM35" i="1"/>
  <c r="AM36" i="1" s="1"/>
  <c r="AM37" i="1" s="1"/>
  <c r="AN34" i="1" s="1"/>
  <c r="AK14" i="1"/>
  <c r="AK17" i="1"/>
  <c r="AK25" i="1"/>
  <c r="AK27" i="1" s="1"/>
  <c r="AK35" i="1"/>
  <c r="AK36" i="1" s="1"/>
  <c r="AK37" i="1" s="1"/>
  <c r="AI14" i="1"/>
  <c r="AI17" i="1"/>
  <c r="AI25" i="1"/>
  <c r="AI27" i="1" s="1"/>
  <c r="AI35" i="1"/>
  <c r="AI36" i="1" s="1"/>
  <c r="AI37" i="1" s="1"/>
  <c r="AG14" i="1"/>
  <c r="AG17" i="1"/>
  <c r="AG25" i="1"/>
  <c r="AG27" i="1" s="1"/>
  <c r="AG35" i="1"/>
  <c r="AG36" i="1" s="1"/>
  <c r="AE14" i="1"/>
  <c r="AE17" i="1"/>
  <c r="AE25" i="1"/>
  <c r="AE27" i="1" s="1"/>
  <c r="AE35" i="1"/>
  <c r="AC14" i="1"/>
  <c r="AC17" i="1"/>
  <c r="AC25" i="1"/>
  <c r="AC27" i="1" s="1"/>
  <c r="AC35" i="1"/>
  <c r="M32" i="7"/>
  <c r="M34" i="7"/>
  <c r="A3" i="1"/>
  <c r="A2" i="6"/>
  <c r="A3" i="7"/>
  <c r="A3" i="4"/>
  <c r="A3" i="5"/>
  <c r="E54" i="1"/>
  <c r="C30" i="9"/>
  <c r="E65" i="1" s="1"/>
  <c r="C31" i="9"/>
  <c r="E66" i="1" s="1"/>
  <c r="C34" i="9"/>
  <c r="E69" i="1" s="1"/>
  <c r="S6" i="9" l="1"/>
  <c r="J12" i="9"/>
  <c r="J10" i="9"/>
  <c r="T12" i="9"/>
  <c r="N21" i="6"/>
  <c r="G21" i="9"/>
  <c r="M57" i="1" s="1"/>
  <c r="S50" i="1"/>
  <c r="G34" i="9"/>
  <c r="M69" i="1" s="1"/>
  <c r="L23" i="6"/>
  <c r="U22" i="1"/>
  <c r="O53" i="1"/>
  <c r="P53" i="1" s="1"/>
  <c r="J16" i="9"/>
  <c r="AB14" i="9"/>
  <c r="S51" i="1"/>
  <c r="H53" i="1"/>
  <c r="U51" i="1"/>
  <c r="J14" i="9"/>
  <c r="Y51" i="1"/>
  <c r="T14" i="9"/>
  <c r="X12" i="9"/>
  <c r="G30" i="9"/>
  <c r="M65" i="1" s="1"/>
  <c r="P12" i="9"/>
  <c r="AB12" i="9"/>
  <c r="Y50" i="1"/>
  <c r="G25" i="9"/>
  <c r="M61" i="1" s="1"/>
  <c r="M52" i="1"/>
  <c r="N52" i="1" s="1"/>
  <c r="AA6" i="9"/>
  <c r="O6" i="9"/>
  <c r="AF12" i="9"/>
  <c r="F25" i="9"/>
  <c r="K61" i="1" s="1"/>
  <c r="O50" i="1"/>
  <c r="P50" i="1" s="1"/>
  <c r="U50" i="1"/>
  <c r="V50" i="1" s="1"/>
  <c r="S22" i="1"/>
  <c r="AE6" i="9"/>
  <c r="C36" i="1"/>
  <c r="C37" i="1" s="1"/>
  <c r="P9" i="6"/>
  <c r="K54" i="1"/>
  <c r="U16" i="9"/>
  <c r="Y16" i="9" s="1"/>
  <c r="S53" i="1"/>
  <c r="T53" i="1" s="1"/>
  <c r="S16" i="1"/>
  <c r="S17" i="1" s="1"/>
  <c r="U16" i="1"/>
  <c r="G35" i="5"/>
  <c r="W35" i="1" s="1"/>
  <c r="H51" i="1"/>
  <c r="P14" i="9"/>
  <c r="AA51" i="1"/>
  <c r="O51" i="1"/>
  <c r="P51" i="1" s="1"/>
  <c r="X14" i="9"/>
  <c r="W51" i="1"/>
  <c r="G12" i="7"/>
  <c r="I8" i="7" s="1"/>
  <c r="K35" i="5"/>
  <c r="AA35" i="1" s="1"/>
  <c r="L15" i="6"/>
  <c r="G18" i="7"/>
  <c r="N11" i="6"/>
  <c r="P19" i="6"/>
  <c r="K17" i="9"/>
  <c r="J53" i="1"/>
  <c r="G54" i="1"/>
  <c r="H54" i="1" s="1"/>
  <c r="D30" i="9"/>
  <c r="G65" i="1" s="1"/>
  <c r="D34" i="9"/>
  <c r="G69" i="1" s="1"/>
  <c r="H50" i="1"/>
  <c r="L53" i="1"/>
  <c r="I52" i="1"/>
  <c r="J52" i="1" s="1"/>
  <c r="E34" i="9"/>
  <c r="I69" i="1" s="1"/>
  <c r="I54" i="1"/>
  <c r="E30" i="9"/>
  <c r="I65" i="1" s="1"/>
  <c r="E31" i="9"/>
  <c r="I66" i="1" s="1"/>
  <c r="E21" i="9"/>
  <c r="I57" i="1" s="1"/>
  <c r="E25" i="9"/>
  <c r="I61" i="1" s="1"/>
  <c r="L49" i="1"/>
  <c r="E22" i="9"/>
  <c r="I58" i="1" s="1"/>
  <c r="N53" i="1"/>
  <c r="F34" i="9"/>
  <c r="K69" i="1" s="1"/>
  <c r="F30" i="9"/>
  <c r="K65" i="1" s="1"/>
  <c r="P16" i="9"/>
  <c r="P10" i="9"/>
  <c r="O49" i="1"/>
  <c r="T49" i="1" s="1"/>
  <c r="K15" i="9"/>
  <c r="K22" i="9" s="1"/>
  <c r="O58" i="1" s="1"/>
  <c r="C36" i="5"/>
  <c r="S36" i="1" s="1"/>
  <c r="S34" i="1"/>
  <c r="O27" i="1"/>
  <c r="L25" i="6" s="1"/>
  <c r="L12" i="6"/>
  <c r="G22" i="9"/>
  <c r="M58" i="1" s="1"/>
  <c r="N6" i="6"/>
  <c r="G31" i="9"/>
  <c r="M66" i="1" s="1"/>
  <c r="J50" i="1"/>
  <c r="AM29" i="1"/>
  <c r="AN19" i="1" s="1"/>
  <c r="N15" i="6"/>
  <c r="H52" i="1"/>
  <c r="H49" i="1"/>
  <c r="J51" i="1"/>
  <c r="L51" i="1"/>
  <c r="AN36" i="1"/>
  <c r="P36" i="1"/>
  <c r="P13" i="6"/>
  <c r="N8" i="6"/>
  <c r="U13" i="1"/>
  <c r="N16" i="6"/>
  <c r="P17" i="6"/>
  <c r="S13" i="1"/>
  <c r="U9" i="1"/>
  <c r="E8" i="5"/>
  <c r="S8" i="1"/>
  <c r="C14" i="5"/>
  <c r="M37" i="1"/>
  <c r="J33" i="6" s="1"/>
  <c r="L32" i="6"/>
  <c r="J32" i="6"/>
  <c r="L50" i="1"/>
  <c r="N50" i="1"/>
  <c r="N49" i="1"/>
  <c r="E37" i="1"/>
  <c r="D32" i="6"/>
  <c r="F30" i="6"/>
  <c r="I36" i="1"/>
  <c r="H30" i="6"/>
  <c r="F22" i="9"/>
  <c r="K58" i="1" s="1"/>
  <c r="H12" i="6"/>
  <c r="J12" i="6"/>
  <c r="J30" i="6"/>
  <c r="L30" i="6"/>
  <c r="AL37" i="1"/>
  <c r="AL34" i="1"/>
  <c r="P7" i="6"/>
  <c r="N7" i="6"/>
  <c r="P12" i="6"/>
  <c r="N12" i="6"/>
  <c r="P34" i="1"/>
  <c r="P37" i="1"/>
  <c r="P33" i="1"/>
  <c r="E11" i="5"/>
  <c r="S11" i="1"/>
  <c r="AN28" i="1"/>
  <c r="AN9" i="1"/>
  <c r="AC36" i="1"/>
  <c r="AC37" i="1" s="1"/>
  <c r="AD37" i="1" s="1"/>
  <c r="AE29" i="1"/>
  <c r="AF17" i="1" s="1"/>
  <c r="AN35" i="1"/>
  <c r="AN33" i="1"/>
  <c r="P23" i="6"/>
  <c r="N23" i="6"/>
  <c r="P20" i="6"/>
  <c r="N20" i="6"/>
  <c r="E15" i="5"/>
  <c r="G15" i="5" s="1"/>
  <c r="I15" i="5" s="1"/>
  <c r="K15" i="5" s="1"/>
  <c r="AA15" i="1" s="1"/>
  <c r="C17" i="5"/>
  <c r="E19" i="5"/>
  <c r="S19" i="1"/>
  <c r="M29" i="1"/>
  <c r="N27" i="1" s="1"/>
  <c r="G37" i="1"/>
  <c r="AE36" i="1"/>
  <c r="E33" i="5"/>
  <c r="G33" i="5" s="1"/>
  <c r="I33" i="5" s="1"/>
  <c r="S33" i="1"/>
  <c r="E26" i="5"/>
  <c r="S26" i="1"/>
  <c r="D23" i="6"/>
  <c r="S25" i="1"/>
  <c r="J25" i="6"/>
  <c r="AK29" i="1"/>
  <c r="AL24" i="1" s="1"/>
  <c r="AL35" i="1"/>
  <c r="S28" i="1"/>
  <c r="AC29" i="1"/>
  <c r="AD24" i="1" s="1"/>
  <c r="L9" i="1"/>
  <c r="G34" i="5"/>
  <c r="G36" i="5" s="1"/>
  <c r="U34" i="1"/>
  <c r="S10" i="1"/>
  <c r="U12" i="1"/>
  <c r="C25" i="5"/>
  <c r="N24" i="6"/>
  <c r="P26" i="6"/>
  <c r="P22" i="6"/>
  <c r="P18" i="6"/>
  <c r="P14" i="6"/>
  <c r="P10" i="6"/>
  <c r="P29" i="6"/>
  <c r="S35" i="1"/>
  <c r="S9" i="1"/>
  <c r="S12" i="1"/>
  <c r="S18" i="1"/>
  <c r="U10" i="1"/>
  <c r="F35" i="9"/>
  <c r="K70" i="1" s="1"/>
  <c r="L33" i="1"/>
  <c r="L36" i="1"/>
  <c r="F26" i="9"/>
  <c r="K62" i="1" s="1"/>
  <c r="L35" i="1"/>
  <c r="L37" i="1"/>
  <c r="L34" i="1"/>
  <c r="H25" i="6"/>
  <c r="F31" i="9"/>
  <c r="K66" i="1" s="1"/>
  <c r="AD26" i="1"/>
  <c r="AD15" i="1"/>
  <c r="AJ37" i="1"/>
  <c r="AJ35" i="1"/>
  <c r="AJ33" i="1"/>
  <c r="AJ36" i="1"/>
  <c r="AJ34" i="1"/>
  <c r="AL10" i="1"/>
  <c r="AG37" i="1"/>
  <c r="AH36" i="1" s="1"/>
  <c r="AI29" i="1"/>
  <c r="I18" i="5"/>
  <c r="W18" i="1"/>
  <c r="AL36" i="1"/>
  <c r="AG29" i="1"/>
  <c r="AF25" i="1"/>
  <c r="AF27" i="1"/>
  <c r="G28" i="5"/>
  <c r="U28" i="1"/>
  <c r="I22" i="5"/>
  <c r="W22" i="1"/>
  <c r="AD33" i="1"/>
  <c r="AL33" i="1"/>
  <c r="I12" i="5"/>
  <c r="W12" i="1"/>
  <c r="Y10" i="1"/>
  <c r="K10" i="5"/>
  <c r="M54" i="1"/>
  <c r="I16" i="5"/>
  <c r="Q15" i="9"/>
  <c r="U10" i="9"/>
  <c r="E36" i="5"/>
  <c r="U24" i="1"/>
  <c r="U18" i="1"/>
  <c r="W10" i="1"/>
  <c r="W50" i="1"/>
  <c r="I13" i="5"/>
  <c r="W13" i="1"/>
  <c r="I9" i="5"/>
  <c r="W9" i="1"/>
  <c r="G26" i="7"/>
  <c r="M26" i="7"/>
  <c r="E26" i="7"/>
  <c r="K26" i="7"/>
  <c r="I26" i="7"/>
  <c r="M18" i="7"/>
  <c r="I18" i="7"/>
  <c r="AF14" i="1" l="1"/>
  <c r="D34" i="1"/>
  <c r="D33" i="1"/>
  <c r="H33" i="1"/>
  <c r="H34" i="1"/>
  <c r="F33" i="1"/>
  <c r="F34" i="1"/>
  <c r="L52" i="1"/>
  <c r="C39" i="1"/>
  <c r="C44" i="1" s="1"/>
  <c r="E41" i="1" s="1"/>
  <c r="X50" i="1"/>
  <c r="I12" i="7"/>
  <c r="K8" i="7" s="1"/>
  <c r="K12" i="7" s="1"/>
  <c r="C28" i="7" s="1"/>
  <c r="C30" i="7" s="1"/>
  <c r="C36" i="7" s="1"/>
  <c r="E28" i="7" s="1"/>
  <c r="E30" i="7" s="1"/>
  <c r="D36" i="1"/>
  <c r="V51" i="1"/>
  <c r="K34" i="9"/>
  <c r="O69" i="1" s="1"/>
  <c r="H36" i="1"/>
  <c r="X51" i="1"/>
  <c r="N54" i="1"/>
  <c r="T51" i="1"/>
  <c r="O29" i="1"/>
  <c r="O39" i="1" s="1"/>
  <c r="T50" i="1"/>
  <c r="Z51" i="1"/>
  <c r="E17" i="5"/>
  <c r="C37" i="5"/>
  <c r="D34" i="5" s="1"/>
  <c r="AH35" i="1"/>
  <c r="AN10" i="1"/>
  <c r="AN17" i="1"/>
  <c r="AM39" i="1"/>
  <c r="AN11" i="1"/>
  <c r="AN25" i="1"/>
  <c r="AN27" i="1"/>
  <c r="P49" i="1"/>
  <c r="U53" i="1"/>
  <c r="V53" i="1" s="1"/>
  <c r="T16" i="9"/>
  <c r="J17" i="9"/>
  <c r="AL9" i="1"/>
  <c r="AL18" i="1"/>
  <c r="AD23" i="1"/>
  <c r="O54" i="1"/>
  <c r="P54" i="1" s="1"/>
  <c r="AL17" i="1"/>
  <c r="AL26" i="1"/>
  <c r="AD10" i="1"/>
  <c r="L8" i="1"/>
  <c r="K30" i="9"/>
  <c r="O65" i="1" s="1"/>
  <c r="K35" i="9"/>
  <c r="O70" i="1" s="1"/>
  <c r="AL25" i="1"/>
  <c r="AD18" i="1"/>
  <c r="K31" i="9"/>
  <c r="O66" i="1" s="1"/>
  <c r="J54" i="1"/>
  <c r="L54" i="1"/>
  <c r="O52" i="1"/>
  <c r="P52" i="1" s="1"/>
  <c r="K25" i="9"/>
  <c r="O61" i="1" s="1"/>
  <c r="J15" i="9"/>
  <c r="K21" i="9"/>
  <c r="O57" i="1" s="1"/>
  <c r="K26" i="9"/>
  <c r="O62" i="1" s="1"/>
  <c r="K39" i="1"/>
  <c r="AN22" i="1"/>
  <c r="AN16" i="1"/>
  <c r="AN12" i="1"/>
  <c r="AN24" i="1"/>
  <c r="AN8" i="1"/>
  <c r="AD36" i="1"/>
  <c r="AN20" i="1"/>
  <c r="AN18" i="1"/>
  <c r="AN13" i="1"/>
  <c r="AN21" i="1"/>
  <c r="AN26" i="1"/>
  <c r="AN14" i="1"/>
  <c r="AN15" i="1"/>
  <c r="AN23" i="1"/>
  <c r="AN29" i="1"/>
  <c r="W15" i="1"/>
  <c r="W17" i="1" s="1"/>
  <c r="Y15" i="1"/>
  <c r="L20" i="1"/>
  <c r="G17" i="5"/>
  <c r="W33" i="1"/>
  <c r="U15" i="1"/>
  <c r="U17" i="1" s="1"/>
  <c r="L28" i="1"/>
  <c r="L14" i="1"/>
  <c r="L24" i="1"/>
  <c r="U33" i="1"/>
  <c r="G26" i="5"/>
  <c r="U26" i="1"/>
  <c r="G11" i="5"/>
  <c r="U11" i="1"/>
  <c r="M39" i="1"/>
  <c r="N33" i="1"/>
  <c r="N35" i="1"/>
  <c r="G26" i="9"/>
  <c r="M62" i="1" s="1"/>
  <c r="G35" i="9"/>
  <c r="M70" i="1" s="1"/>
  <c r="N34" i="1"/>
  <c r="L33" i="6"/>
  <c r="AL27" i="1"/>
  <c r="AL20" i="1"/>
  <c r="AD17" i="1"/>
  <c r="AD25" i="1"/>
  <c r="AD20" i="1"/>
  <c r="AD28" i="1"/>
  <c r="L25" i="1"/>
  <c r="L21" i="1"/>
  <c r="J27" i="6"/>
  <c r="L22" i="1"/>
  <c r="E14" i="5"/>
  <c r="D25" i="6"/>
  <c r="F25" i="6"/>
  <c r="AE37" i="1"/>
  <c r="G19" i="5"/>
  <c r="U19" i="1"/>
  <c r="AD35" i="1"/>
  <c r="N36" i="1"/>
  <c r="C26" i="9"/>
  <c r="E62" i="1" s="1"/>
  <c r="F35" i="1"/>
  <c r="F37" i="1"/>
  <c r="D33" i="6"/>
  <c r="P33" i="6" s="1"/>
  <c r="F36" i="1"/>
  <c r="C35" i="9"/>
  <c r="E70" i="1" s="1"/>
  <c r="AL11" i="1"/>
  <c r="F23" i="9"/>
  <c r="K59" i="1" s="1"/>
  <c r="AL13" i="1"/>
  <c r="AL21" i="1"/>
  <c r="AL14" i="1"/>
  <c r="AL22" i="1"/>
  <c r="AK39" i="1"/>
  <c r="AD11" i="1"/>
  <c r="AD19" i="1"/>
  <c r="AD29" i="1"/>
  <c r="AD14" i="1"/>
  <c r="AD22" i="1"/>
  <c r="AC39" i="1"/>
  <c r="AC44" i="1" s="1"/>
  <c r="AE41" i="1" s="1"/>
  <c r="L11" i="1"/>
  <c r="L17" i="1"/>
  <c r="L23" i="1"/>
  <c r="L12" i="1"/>
  <c r="L10" i="1"/>
  <c r="D35" i="9"/>
  <c r="G70" i="1" s="1"/>
  <c r="D26" i="9"/>
  <c r="G62" i="1" s="1"/>
  <c r="H37" i="1"/>
  <c r="H35" i="1"/>
  <c r="H32" i="6"/>
  <c r="I37" i="1"/>
  <c r="F32" i="6"/>
  <c r="AL19" i="1"/>
  <c r="AL12" i="1"/>
  <c r="AL28" i="1"/>
  <c r="AD9" i="1"/>
  <c r="AD12" i="1"/>
  <c r="L16" i="1"/>
  <c r="AD34" i="1"/>
  <c r="AL29" i="1"/>
  <c r="AL15" i="1"/>
  <c r="AL23" i="1"/>
  <c r="AL8" i="1"/>
  <c r="AL16" i="1"/>
  <c r="AD27" i="1"/>
  <c r="AD13" i="1"/>
  <c r="AD21" i="1"/>
  <c r="AD8" i="1"/>
  <c r="AD16" i="1"/>
  <c r="L15" i="1"/>
  <c r="L27" i="1"/>
  <c r="L26" i="1"/>
  <c r="L19" i="1"/>
  <c r="L18" i="1"/>
  <c r="L13" i="1"/>
  <c r="S14" i="1"/>
  <c r="N11" i="1"/>
  <c r="N23" i="1"/>
  <c r="N13" i="1"/>
  <c r="N22" i="1"/>
  <c r="N9" i="1"/>
  <c r="N16" i="1"/>
  <c r="N25" i="1"/>
  <c r="N15" i="1"/>
  <c r="N24" i="1"/>
  <c r="N8" i="1"/>
  <c r="G32" i="9"/>
  <c r="M67" i="1" s="1"/>
  <c r="N20" i="1"/>
  <c r="N19" i="1"/>
  <c r="N12" i="1"/>
  <c r="N17" i="1"/>
  <c r="N26" i="1"/>
  <c r="N29" i="1"/>
  <c r="N18" i="1"/>
  <c r="N14" i="1"/>
  <c r="G23" i="9"/>
  <c r="M59" i="1" s="1"/>
  <c r="N10" i="1"/>
  <c r="N28" i="1"/>
  <c r="N21" i="1"/>
  <c r="AF29" i="1"/>
  <c r="AF24" i="1"/>
  <c r="AF22" i="1"/>
  <c r="AF20" i="1"/>
  <c r="AF18" i="1"/>
  <c r="AF16" i="1"/>
  <c r="AF12" i="1"/>
  <c r="AF10" i="1"/>
  <c r="AF8" i="1"/>
  <c r="AF19" i="1"/>
  <c r="AF26" i="1"/>
  <c r="AF23" i="1"/>
  <c r="AF21" i="1"/>
  <c r="AF28" i="1"/>
  <c r="AF15" i="1"/>
  <c r="AF13" i="1"/>
  <c r="AF9" i="1"/>
  <c r="AF11" i="1"/>
  <c r="P30" i="6"/>
  <c r="N30" i="6"/>
  <c r="D35" i="1"/>
  <c r="D37" i="1"/>
  <c r="G8" i="5"/>
  <c r="U8" i="1"/>
  <c r="F32" i="9"/>
  <c r="K67" i="1" s="1"/>
  <c r="L29" i="1"/>
  <c r="E23" i="5"/>
  <c r="I34" i="5"/>
  <c r="W34" i="1"/>
  <c r="Y13" i="1"/>
  <c r="K13" i="5"/>
  <c r="Q25" i="9"/>
  <c r="S61" i="1" s="1"/>
  <c r="S52" i="1"/>
  <c r="T52" i="1" s="1"/>
  <c r="P15" i="9"/>
  <c r="Q22" i="9"/>
  <c r="S58" i="1" s="1"/>
  <c r="Q21" i="9"/>
  <c r="S57" i="1" s="1"/>
  <c r="K22" i="5"/>
  <c r="Y22" i="1"/>
  <c r="AH29" i="1"/>
  <c r="AH25" i="1"/>
  <c r="AH23" i="1"/>
  <c r="AH21" i="1"/>
  <c r="AH19" i="1"/>
  <c r="AH15" i="1"/>
  <c r="AH13" i="1"/>
  <c r="AH11" i="1"/>
  <c r="AH9" i="1"/>
  <c r="AG39" i="1"/>
  <c r="AH28" i="1"/>
  <c r="AH26" i="1"/>
  <c r="AH24" i="1"/>
  <c r="AH22" i="1"/>
  <c r="AH20" i="1"/>
  <c r="AH18" i="1"/>
  <c r="AH16" i="1"/>
  <c r="AH14" i="1"/>
  <c r="AH12" i="1"/>
  <c r="AH10" i="1"/>
  <c r="AH8" i="1"/>
  <c r="AH17" i="1"/>
  <c r="K16" i="5"/>
  <c r="Y16" i="1"/>
  <c r="AC16" i="9"/>
  <c r="W53" i="1"/>
  <c r="X16" i="9"/>
  <c r="AH27" i="1"/>
  <c r="G37" i="5"/>
  <c r="W36" i="1"/>
  <c r="D33" i="5"/>
  <c r="Y18" i="1"/>
  <c r="K18" i="5"/>
  <c r="U36" i="1"/>
  <c r="E37" i="5"/>
  <c r="K12" i="5"/>
  <c r="Y12" i="1"/>
  <c r="S37" i="1"/>
  <c r="E39" i="1"/>
  <c r="D27" i="6"/>
  <c r="C23" i="9"/>
  <c r="E59" i="1" s="1"/>
  <c r="C32" i="9"/>
  <c r="E67" i="1" s="1"/>
  <c r="AA10" i="1"/>
  <c r="Z50" i="1"/>
  <c r="I28" i="5"/>
  <c r="W28" i="1"/>
  <c r="AI39" i="1"/>
  <c r="AJ28" i="1"/>
  <c r="AJ26" i="1"/>
  <c r="AJ24" i="1"/>
  <c r="AJ22" i="1"/>
  <c r="AJ20" i="1"/>
  <c r="AJ18" i="1"/>
  <c r="AJ16" i="1"/>
  <c r="AJ14" i="1"/>
  <c r="AJ12" i="1"/>
  <c r="AJ10" i="1"/>
  <c r="AJ8" i="1"/>
  <c r="AJ29" i="1"/>
  <c r="AJ25" i="1"/>
  <c r="AJ23" i="1"/>
  <c r="AJ21" i="1"/>
  <c r="AJ19" i="1"/>
  <c r="AJ17" i="1"/>
  <c r="AJ15" i="1"/>
  <c r="AJ13" i="1"/>
  <c r="AJ11" i="1"/>
  <c r="AJ9" i="1"/>
  <c r="AJ27" i="1"/>
  <c r="F27" i="6"/>
  <c r="E23" i="9"/>
  <c r="I59" i="1" s="1"/>
  <c r="E32" i="9"/>
  <c r="I67" i="1" s="1"/>
  <c r="H27" i="6"/>
  <c r="Q17" i="9"/>
  <c r="K33" i="5"/>
  <c r="Y33" i="1"/>
  <c r="Y9" i="1"/>
  <c r="K9" i="5"/>
  <c r="I17" i="5"/>
  <c r="Y10" i="9"/>
  <c r="U15" i="9"/>
  <c r="U49" i="1"/>
  <c r="V49" i="1" s="1"/>
  <c r="T10" i="9"/>
  <c r="AH34" i="1"/>
  <c r="AH37" i="1"/>
  <c r="AH33" i="1"/>
  <c r="J34" i="1" l="1"/>
  <c r="J33" i="1"/>
  <c r="Y17" i="1"/>
  <c r="L27" i="6"/>
  <c r="P27" i="1"/>
  <c r="P9" i="1"/>
  <c r="E22" i="7"/>
  <c r="E31" i="7" s="1"/>
  <c r="C20" i="5" s="1"/>
  <c r="P18" i="1"/>
  <c r="K23" i="9"/>
  <c r="O59" i="1" s="1"/>
  <c r="P20" i="1"/>
  <c r="P22" i="1"/>
  <c r="P29" i="1"/>
  <c r="P12" i="1"/>
  <c r="P16" i="1"/>
  <c r="P15" i="1"/>
  <c r="P13" i="1"/>
  <c r="P24" i="1"/>
  <c r="W37" i="1"/>
  <c r="X35" i="1" s="1"/>
  <c r="K32" i="9"/>
  <c r="O67" i="1" s="1"/>
  <c r="P28" i="1"/>
  <c r="P25" i="1"/>
  <c r="P14" i="1"/>
  <c r="P19" i="1"/>
  <c r="P17" i="1"/>
  <c r="P21" i="1"/>
  <c r="P8" i="1"/>
  <c r="P10" i="1"/>
  <c r="P26" i="1"/>
  <c r="P23" i="1"/>
  <c r="P11" i="1"/>
  <c r="F33" i="6"/>
  <c r="N33" i="6" s="1"/>
  <c r="X53" i="1"/>
  <c r="Q35" i="9"/>
  <c r="S70" i="1" s="1"/>
  <c r="Q26" i="9"/>
  <c r="S62" i="1" s="1"/>
  <c r="I39" i="1"/>
  <c r="P32" i="6"/>
  <c r="N32" i="6"/>
  <c r="AF34" i="1"/>
  <c r="AF37" i="1"/>
  <c r="AF33" i="1"/>
  <c r="AF35" i="1"/>
  <c r="J35" i="1"/>
  <c r="E26" i="9"/>
  <c r="I62" i="1" s="1"/>
  <c r="E35" i="9"/>
  <c r="I70" i="1" s="1"/>
  <c r="J37" i="1"/>
  <c r="H33" i="6"/>
  <c r="AF36" i="1"/>
  <c r="I11" i="5"/>
  <c r="W11" i="1"/>
  <c r="AE39" i="1"/>
  <c r="AE44" i="1" s="1"/>
  <c r="AG41" i="1" s="1"/>
  <c r="AG44" i="1" s="1"/>
  <c r="AI41" i="1" s="1"/>
  <c r="AI44" i="1" s="1"/>
  <c r="AK41" i="1" s="1"/>
  <c r="AK44" i="1" s="1"/>
  <c r="AM41" i="1" s="1"/>
  <c r="AM44" i="1" s="1"/>
  <c r="J36" i="1"/>
  <c r="D23" i="9"/>
  <c r="G59" i="1" s="1"/>
  <c r="D32" i="9"/>
  <c r="G67" i="1" s="1"/>
  <c r="G39" i="1"/>
  <c r="I8" i="5"/>
  <c r="G14" i="5"/>
  <c r="W8" i="1"/>
  <c r="E44" i="1"/>
  <c r="G41" i="1" s="1"/>
  <c r="U14" i="1"/>
  <c r="I19" i="5"/>
  <c r="W19" i="1"/>
  <c r="N25" i="6"/>
  <c r="P25" i="6"/>
  <c r="W26" i="1"/>
  <c r="I26" i="5"/>
  <c r="U23" i="1"/>
  <c r="U25" i="1" s="1"/>
  <c r="E25" i="5"/>
  <c r="I36" i="5"/>
  <c r="Y34" i="1"/>
  <c r="K34" i="5"/>
  <c r="T37" i="1"/>
  <c r="T35" i="1"/>
  <c r="T33" i="1"/>
  <c r="T34" i="1"/>
  <c r="U26" i="9"/>
  <c r="U62" i="1" s="1"/>
  <c r="F33" i="5"/>
  <c r="F34" i="5"/>
  <c r="X36" i="1"/>
  <c r="P27" i="6"/>
  <c r="N27" i="6"/>
  <c r="U37" i="1"/>
  <c r="V36" i="1" s="1"/>
  <c r="H34" i="5"/>
  <c r="H33" i="5"/>
  <c r="AA18" i="1"/>
  <c r="AG16" i="9"/>
  <c r="Y53" i="1"/>
  <c r="Z53" i="1" s="1"/>
  <c r="AB16" i="9"/>
  <c r="AA16" i="1"/>
  <c r="K17" i="5"/>
  <c r="AA13" i="1"/>
  <c r="U52" i="1"/>
  <c r="V52" i="1" s="1"/>
  <c r="U21" i="9"/>
  <c r="U57" i="1" s="1"/>
  <c r="U25" i="9"/>
  <c r="U61" i="1" s="1"/>
  <c r="T15" i="9"/>
  <c r="U22" i="9"/>
  <c r="U58" i="1" s="1"/>
  <c r="U17" i="9"/>
  <c r="P17" i="9"/>
  <c r="S54" i="1"/>
  <c r="T54" i="1" s="1"/>
  <c r="Q34" i="9"/>
  <c r="S69" i="1" s="1"/>
  <c r="Q30" i="9"/>
  <c r="S65" i="1" s="1"/>
  <c r="Q31" i="9"/>
  <c r="S66" i="1" s="1"/>
  <c r="X34" i="1"/>
  <c r="AC10" i="9"/>
  <c r="Y15" i="9"/>
  <c r="Y26" i="9" s="1"/>
  <c r="W62" i="1" s="1"/>
  <c r="W49" i="1"/>
  <c r="X49" i="1" s="1"/>
  <c r="X10" i="9"/>
  <c r="AA9" i="1"/>
  <c r="AA33" i="1"/>
  <c r="X33" i="1"/>
  <c r="Y28" i="1"/>
  <c r="K28" i="5"/>
  <c r="T36" i="1"/>
  <c r="AA12" i="1"/>
  <c r="AA22" i="1"/>
  <c r="X37" i="1" l="1"/>
  <c r="S20" i="1"/>
  <c r="S27" i="1" s="1"/>
  <c r="S29" i="1" s="1"/>
  <c r="T24" i="1" s="1"/>
  <c r="C27" i="5"/>
  <c r="E36" i="7"/>
  <c r="G44" i="1"/>
  <c r="I41" i="1" s="1"/>
  <c r="I44" i="1" s="1"/>
  <c r="K41" i="1" s="1"/>
  <c r="K44" i="1" s="1"/>
  <c r="M41" i="1" s="1"/>
  <c r="M44" i="1" s="1"/>
  <c r="W14" i="1"/>
  <c r="K26" i="5"/>
  <c r="AA26" i="1" s="1"/>
  <c r="Y26" i="1"/>
  <c r="K11" i="5"/>
  <c r="AA11" i="1" s="1"/>
  <c r="Y11" i="1"/>
  <c r="Y19" i="1"/>
  <c r="K19" i="5"/>
  <c r="AA19" i="1" s="1"/>
  <c r="I14" i="5"/>
  <c r="Y8" i="1"/>
  <c r="K8" i="5"/>
  <c r="Y36" i="1"/>
  <c r="Y37" i="1" s="1"/>
  <c r="Z37" i="1" s="1"/>
  <c r="I37" i="5"/>
  <c r="G23" i="5"/>
  <c r="K36" i="5"/>
  <c r="AA34" i="1"/>
  <c r="AG10" i="9"/>
  <c r="AC15" i="9"/>
  <c r="Y49" i="1"/>
  <c r="Z49" i="1" s="1"/>
  <c r="AB10" i="9"/>
  <c r="AA17" i="1"/>
  <c r="AA28" i="1"/>
  <c r="AA53" i="1"/>
  <c r="AF16" i="9"/>
  <c r="W52" i="1"/>
  <c r="X52" i="1" s="1"/>
  <c r="Y25" i="9"/>
  <c r="W61" i="1" s="1"/>
  <c r="Y21" i="9"/>
  <c r="W57" i="1" s="1"/>
  <c r="X15" i="9"/>
  <c r="Y22" i="9"/>
  <c r="W58" i="1" s="1"/>
  <c r="Y17" i="9"/>
  <c r="T17" i="9"/>
  <c r="U30" i="9"/>
  <c r="U65" i="1" s="1"/>
  <c r="U54" i="1"/>
  <c r="V54" i="1" s="1"/>
  <c r="U34" i="9"/>
  <c r="U69" i="1" s="1"/>
  <c r="U31" i="9"/>
  <c r="U66" i="1" s="1"/>
  <c r="V34" i="1"/>
  <c r="V37" i="1"/>
  <c r="V35" i="1"/>
  <c r="V33" i="1"/>
  <c r="U35" i="9"/>
  <c r="U70" i="1" s="1"/>
  <c r="T14" i="1" l="1"/>
  <c r="S39" i="1"/>
  <c r="S40" i="1" s="1"/>
  <c r="T15" i="1"/>
  <c r="T17" i="1"/>
  <c r="T18" i="1"/>
  <c r="T25" i="1"/>
  <c r="T20" i="1"/>
  <c r="T26" i="1"/>
  <c r="T9" i="1"/>
  <c r="T28" i="1"/>
  <c r="T19" i="1"/>
  <c r="T12" i="1"/>
  <c r="T27" i="1"/>
  <c r="T10" i="1"/>
  <c r="T22" i="1"/>
  <c r="T13" i="1"/>
  <c r="T23" i="1"/>
  <c r="T21" i="1"/>
  <c r="T11" i="1"/>
  <c r="T8" i="1"/>
  <c r="T29" i="1"/>
  <c r="T16" i="1"/>
  <c r="G28" i="7"/>
  <c r="G22" i="7"/>
  <c r="G31" i="7" s="1"/>
  <c r="G20" i="4" s="1"/>
  <c r="E20" i="5" s="1"/>
  <c r="C29" i="5"/>
  <c r="D27" i="5" s="1"/>
  <c r="Y14" i="1"/>
  <c r="O41" i="1"/>
  <c r="O44" i="1" s="1"/>
  <c r="Z34" i="1"/>
  <c r="Z36" i="1"/>
  <c r="Z35" i="1"/>
  <c r="Z33" i="1"/>
  <c r="AA8" i="1"/>
  <c r="AA14" i="1" s="1"/>
  <c r="K14" i="5"/>
  <c r="G25" i="5"/>
  <c r="W23" i="1"/>
  <c r="W25" i="1" s="1"/>
  <c r="J33" i="5"/>
  <c r="J34" i="5"/>
  <c r="AA36" i="1"/>
  <c r="AA37" i="1" s="1"/>
  <c r="AB33" i="1" s="1"/>
  <c r="K37" i="5"/>
  <c r="AG15" i="9"/>
  <c r="AA49" i="1"/>
  <c r="AF10" i="9"/>
  <c r="W54" i="1"/>
  <c r="X54" i="1" s="1"/>
  <c r="X17" i="9"/>
  <c r="Y34" i="9"/>
  <c r="W69" i="1" s="1"/>
  <c r="Y30" i="9"/>
  <c r="W65" i="1" s="1"/>
  <c r="Y31" i="9"/>
  <c r="W66" i="1" s="1"/>
  <c r="Y35" i="9"/>
  <c r="W70" i="1" s="1"/>
  <c r="Y52" i="1"/>
  <c r="Z52" i="1" s="1"/>
  <c r="AB15" i="9"/>
  <c r="AC21" i="9"/>
  <c r="Y57" i="1" s="1"/>
  <c r="AC25" i="9"/>
  <c r="Y61" i="1" s="1"/>
  <c r="AC22" i="9"/>
  <c r="Y58" i="1" s="1"/>
  <c r="AC17" i="9"/>
  <c r="AC26" i="9"/>
  <c r="Y62" i="1" s="1"/>
  <c r="D11" i="5" l="1"/>
  <c r="D21" i="5"/>
  <c r="D19" i="5"/>
  <c r="D13" i="5"/>
  <c r="D22" i="5"/>
  <c r="D24" i="5"/>
  <c r="Q32" i="9"/>
  <c r="S67" i="1" s="1"/>
  <c r="D26" i="5"/>
  <c r="D14" i="5"/>
  <c r="D18" i="5"/>
  <c r="D12" i="5"/>
  <c r="D17" i="5"/>
  <c r="Q23" i="9"/>
  <c r="S59" i="1" s="1"/>
  <c r="C38" i="5"/>
  <c r="D25" i="5"/>
  <c r="D8" i="5"/>
  <c r="D16" i="5"/>
  <c r="D28" i="5"/>
  <c r="D9" i="5"/>
  <c r="D20" i="5"/>
  <c r="D15" i="5"/>
  <c r="D23" i="5"/>
  <c r="D10" i="5"/>
  <c r="U20" i="1"/>
  <c r="E27" i="5"/>
  <c r="G30" i="7"/>
  <c r="G36" i="7" s="1"/>
  <c r="S41" i="1"/>
  <c r="S44" i="1" s="1"/>
  <c r="U41" i="1" s="1"/>
  <c r="C39" i="5"/>
  <c r="AB35" i="1"/>
  <c r="AB34" i="1"/>
  <c r="L33" i="5"/>
  <c r="L34" i="5"/>
  <c r="I23" i="5"/>
  <c r="AB36" i="1"/>
  <c r="AB17" i="9"/>
  <c r="Y54" i="1"/>
  <c r="Z54" i="1" s="1"/>
  <c r="AC34" i="9"/>
  <c r="Y69" i="1" s="1"/>
  <c r="AC30" i="9"/>
  <c r="Y65" i="1" s="1"/>
  <c r="AC35" i="9"/>
  <c r="Y70" i="1" s="1"/>
  <c r="AC31" i="9"/>
  <c r="Y66" i="1" s="1"/>
  <c r="AA52" i="1"/>
  <c r="AF15" i="9"/>
  <c r="AG25" i="9"/>
  <c r="AA61" i="1" s="1"/>
  <c r="AG21" i="9"/>
  <c r="AA57" i="1" s="1"/>
  <c r="AG26" i="9"/>
  <c r="AA62" i="1" s="1"/>
  <c r="AG17" i="9"/>
  <c r="AG22" i="9"/>
  <c r="AA58" i="1" s="1"/>
  <c r="C41" i="5" l="1"/>
  <c r="E39" i="5" s="1"/>
  <c r="E29" i="5"/>
  <c r="F27" i="5" s="1"/>
  <c r="U27" i="1"/>
  <c r="I28" i="7"/>
  <c r="I22" i="7"/>
  <c r="I31" i="7" s="1"/>
  <c r="J20" i="4" s="1"/>
  <c r="G20" i="5" s="1"/>
  <c r="I25" i="5"/>
  <c r="Y23" i="1"/>
  <c r="Y25" i="1" s="1"/>
  <c r="AA54" i="1"/>
  <c r="AF17" i="9"/>
  <c r="AG30" i="9"/>
  <c r="AA65" i="1" s="1"/>
  <c r="AG34" i="9"/>
  <c r="AA69" i="1" s="1"/>
  <c r="AG31" i="9"/>
  <c r="AA66" i="1" s="1"/>
  <c r="AG35" i="9"/>
  <c r="AA70" i="1" s="1"/>
  <c r="W20" i="1" l="1"/>
  <c r="G27" i="5"/>
  <c r="I30" i="7"/>
  <c r="I36" i="7" s="1"/>
  <c r="F16" i="5"/>
  <c r="F12" i="5"/>
  <c r="F10" i="5"/>
  <c r="F15" i="5"/>
  <c r="F14" i="5"/>
  <c r="F23" i="5"/>
  <c r="F22" i="5"/>
  <c r="F13" i="5"/>
  <c r="F17" i="5"/>
  <c r="F9" i="5"/>
  <c r="U32" i="9"/>
  <c r="U67" i="1" s="1"/>
  <c r="F11" i="5"/>
  <c r="F18" i="5"/>
  <c r="F19" i="5"/>
  <c r="F21" i="5"/>
  <c r="F26" i="5"/>
  <c r="U23" i="9"/>
  <c r="U59" i="1" s="1"/>
  <c r="F28" i="5"/>
  <c r="F25" i="5"/>
  <c r="F8" i="5"/>
  <c r="E38" i="5"/>
  <c r="E41" i="5" s="1"/>
  <c r="G39" i="5" s="1"/>
  <c r="F24" i="5"/>
  <c r="F20" i="5"/>
  <c r="U29" i="1"/>
  <c r="V27" i="1" s="1"/>
  <c r="K23" i="5"/>
  <c r="K28" i="7" l="1"/>
  <c r="K30" i="7" s="1"/>
  <c r="K22" i="7"/>
  <c r="K31" i="7" s="1"/>
  <c r="M20" i="4" s="1"/>
  <c r="I20" i="5" s="1"/>
  <c r="G29" i="5"/>
  <c r="H27" i="5" s="1"/>
  <c r="U39" i="1"/>
  <c r="V19" i="1"/>
  <c r="V26" i="1"/>
  <c r="V12" i="1"/>
  <c r="V18" i="1"/>
  <c r="V17" i="1"/>
  <c r="V29" i="1"/>
  <c r="V28" i="1"/>
  <c r="V22" i="1"/>
  <c r="V23" i="1"/>
  <c r="V11" i="1"/>
  <c r="V8" i="1"/>
  <c r="V15" i="1"/>
  <c r="V21" i="1"/>
  <c r="V9" i="1"/>
  <c r="V16" i="1"/>
  <c r="V14" i="1"/>
  <c r="V13" i="1"/>
  <c r="V10" i="1"/>
  <c r="V24" i="1"/>
  <c r="V25" i="1"/>
  <c r="V20" i="1"/>
  <c r="W27" i="1"/>
  <c r="K25" i="5"/>
  <c r="AA23" i="1"/>
  <c r="AA25" i="1" s="1"/>
  <c r="U40" i="1" l="1"/>
  <c r="U44" i="1"/>
  <c r="W41" i="1" s="1"/>
  <c r="W29" i="1"/>
  <c r="H13" i="5"/>
  <c r="H15" i="5"/>
  <c r="H16" i="5"/>
  <c r="H10" i="5"/>
  <c r="Y23" i="9"/>
  <c r="W59" i="1" s="1"/>
  <c r="H9" i="5"/>
  <c r="H22" i="5"/>
  <c r="H14" i="5"/>
  <c r="H18" i="5"/>
  <c r="H23" i="5"/>
  <c r="H17" i="5"/>
  <c r="H28" i="5"/>
  <c r="H19" i="5"/>
  <c r="G38" i="5"/>
  <c r="G41" i="5" s="1"/>
  <c r="I39" i="5" s="1"/>
  <c r="H25" i="5"/>
  <c r="H21" i="5"/>
  <c r="H24" i="5"/>
  <c r="H12" i="5"/>
  <c r="H26" i="5"/>
  <c r="Y32" i="9"/>
  <c r="W67" i="1" s="1"/>
  <c r="H11" i="5"/>
  <c r="H8" i="5"/>
  <c r="H20" i="5"/>
  <c r="Y20" i="1"/>
  <c r="I27" i="5"/>
  <c r="I29" i="5" s="1"/>
  <c r="J10" i="5" s="1"/>
  <c r="K36" i="7"/>
  <c r="J21" i="5" l="1"/>
  <c r="J9" i="5"/>
  <c r="J16" i="5"/>
  <c r="J22" i="5"/>
  <c r="J27" i="5"/>
  <c r="J15" i="5"/>
  <c r="J23" i="5"/>
  <c r="J26" i="5"/>
  <c r="J20" i="5"/>
  <c r="AC23" i="9"/>
  <c r="Y59" i="1" s="1"/>
  <c r="I38" i="5"/>
  <c r="I41" i="5" s="1"/>
  <c r="K39" i="5" s="1"/>
  <c r="AC32" i="9"/>
  <c r="Y67" i="1" s="1"/>
  <c r="J24" i="5"/>
  <c r="J11" i="5"/>
  <c r="J12" i="5"/>
  <c r="J18" i="5"/>
  <c r="J28" i="5"/>
  <c r="J25" i="5"/>
  <c r="X19" i="1"/>
  <c r="X24" i="1"/>
  <c r="X13" i="1"/>
  <c r="X10" i="1"/>
  <c r="X28" i="1"/>
  <c r="X29" i="1"/>
  <c r="X16" i="1"/>
  <c r="X22" i="1"/>
  <c r="X26" i="1"/>
  <c r="X12" i="1"/>
  <c r="X11" i="1"/>
  <c r="X8" i="1"/>
  <c r="X15" i="1"/>
  <c r="X14" i="1"/>
  <c r="W39" i="1"/>
  <c r="W44" i="1" s="1"/>
  <c r="Y41" i="1" s="1"/>
  <c r="X18" i="1"/>
  <c r="X23" i="1"/>
  <c r="X21" i="1"/>
  <c r="X17" i="1"/>
  <c r="X25" i="1"/>
  <c r="X9" i="1"/>
  <c r="X20" i="1"/>
  <c r="M28" i="7"/>
  <c r="M22" i="7"/>
  <c r="J13" i="5"/>
  <c r="J14" i="5"/>
  <c r="J19" i="5"/>
  <c r="J8" i="5"/>
  <c r="J17" i="5"/>
  <c r="Y27" i="1"/>
  <c r="X27" i="1"/>
  <c r="W40" i="1" l="1"/>
  <c r="Y29" i="1"/>
  <c r="Z27" i="1" s="1"/>
  <c r="M30" i="7"/>
  <c r="P20" i="4"/>
  <c r="K20" i="5" s="1"/>
  <c r="M31" i="7"/>
  <c r="M36" i="7" l="1"/>
  <c r="AA20" i="1"/>
  <c r="K27" i="5"/>
  <c r="Z29" i="1"/>
  <c r="Z18" i="1"/>
  <c r="Z21" i="1"/>
  <c r="Z26" i="1"/>
  <c r="Z13" i="1"/>
  <c r="Z19" i="1"/>
  <c r="Z12" i="1"/>
  <c r="Z23" i="1"/>
  <c r="Y39" i="1"/>
  <c r="Y44" i="1" s="1"/>
  <c r="AA41" i="1" s="1"/>
  <c r="Z10" i="1"/>
  <c r="Z16" i="1"/>
  <c r="Z24" i="1"/>
  <c r="Z11" i="1"/>
  <c r="Z17" i="1"/>
  <c r="Z9" i="1"/>
  <c r="Z14" i="1"/>
  <c r="Z25" i="1"/>
  <c r="Z15" i="1"/>
  <c r="Z22" i="1"/>
  <c r="Z28" i="1"/>
  <c r="Z8" i="1"/>
  <c r="Z20" i="1"/>
  <c r="Y40" i="1" l="1"/>
  <c r="K29" i="5"/>
  <c r="L27" i="5" s="1"/>
  <c r="AA27" i="1"/>
  <c r="AA29" i="1" l="1"/>
  <c r="AB27" i="1" s="1"/>
  <c r="L20" i="5"/>
  <c r="L24" i="5"/>
  <c r="K38" i="5"/>
  <c r="K41" i="5" s="1"/>
  <c r="L22" i="5"/>
  <c r="L12" i="5"/>
  <c r="L14" i="5"/>
  <c r="AG23" i="9"/>
  <c r="AA59" i="1" s="1"/>
  <c r="L10" i="5"/>
  <c r="L23" i="5"/>
  <c r="L25" i="5"/>
  <c r="L21" i="5"/>
  <c r="L16" i="5"/>
  <c r="L9" i="5"/>
  <c r="L11" i="5"/>
  <c r="L13" i="5"/>
  <c r="AG32" i="9"/>
  <c r="AA67" i="1" s="1"/>
  <c r="L28" i="5"/>
  <c r="L15" i="5"/>
  <c r="L26" i="5"/>
  <c r="L18" i="5"/>
  <c r="L8" i="5"/>
  <c r="L17" i="5"/>
  <c r="L19" i="5"/>
  <c r="AB24" i="1" l="1"/>
  <c r="AB11" i="1"/>
  <c r="AB12" i="1"/>
  <c r="AB29" i="1"/>
  <c r="AB10" i="1"/>
  <c r="AB8" i="1"/>
  <c r="AB13" i="1"/>
  <c r="AB23" i="1"/>
  <c r="AA39" i="1"/>
  <c r="AA44" i="1" s="1"/>
  <c r="AB21" i="1"/>
  <c r="AB19" i="1"/>
  <c r="AB22" i="1"/>
  <c r="AB17" i="1"/>
  <c r="AB25" i="1"/>
  <c r="AB15" i="1"/>
  <c r="AB18" i="1"/>
  <c r="AB9" i="1"/>
  <c r="AB14" i="1"/>
  <c r="AB16" i="1"/>
  <c r="AB28" i="1"/>
  <c r="AB26" i="1"/>
  <c r="AB20" i="1"/>
  <c r="AA40" i="1" l="1"/>
</calcChain>
</file>

<file path=xl/sharedStrings.xml><?xml version="1.0" encoding="utf-8"?>
<sst xmlns="http://schemas.openxmlformats.org/spreadsheetml/2006/main" count="472" uniqueCount="209">
  <si>
    <t>Council Name:</t>
  </si>
  <si>
    <t>Rate
%</t>
  </si>
  <si>
    <t>Incremental
$$</t>
  </si>
  <si>
    <t>Council Five Year Plan - Setup</t>
  </si>
  <si>
    <t>Endowment History</t>
  </si>
  <si>
    <t>Value of Endowment Investments (December 31)</t>
  </si>
  <si>
    <t>Value of Endowment Investments (January 1)</t>
  </si>
  <si>
    <t>Forecasted Value of Endowment Investments</t>
  </si>
  <si>
    <t>Instructions:</t>
  </si>
  <si>
    <t>Unrestricted Net Assets Beginning of Year</t>
  </si>
  <si>
    <t>Unrestricted Net Assets End of Year</t>
  </si>
  <si>
    <t>Endowment Forecast</t>
  </si>
  <si>
    <t>Number of Years for Spending Policy (1-5):</t>
  </si>
  <si>
    <t>Project Sales</t>
  </si>
  <si>
    <t>Foundations &amp; Trusts</t>
  </si>
  <si>
    <t xml:space="preserve">Net Friends of Scouting </t>
  </si>
  <si>
    <t>Net Special Fundraising Events</t>
  </si>
  <si>
    <t>Legacies &amp; Bequests</t>
  </si>
  <si>
    <t>Other Direct Support</t>
  </si>
  <si>
    <t>United Ways</t>
  </si>
  <si>
    <t>Net Sale of Supplies</t>
  </si>
  <si>
    <t>Net Sale of Products</t>
  </si>
  <si>
    <t>Camping</t>
  </si>
  <si>
    <t>Activities</t>
  </si>
  <si>
    <t>Other Income</t>
  </si>
  <si>
    <t>Total Reclass of Net Assets</t>
  </si>
  <si>
    <t>Total Employee Compensation</t>
  </si>
  <si>
    <t>Total Other Expenses</t>
  </si>
  <si>
    <t>Other Indirect &amp; Government</t>
  </si>
  <si>
    <t>Activities Net</t>
  </si>
  <si>
    <t>Net Other Expenses</t>
  </si>
  <si>
    <t>Transfers to Capital</t>
  </si>
  <si>
    <t>%</t>
  </si>
  <si>
    <t xml:space="preserve">  Total Direct Support</t>
  </si>
  <si>
    <t xml:space="preserve">  Total Indirect Support</t>
  </si>
  <si>
    <t xml:space="preserve">  Total Adjusted Revenue</t>
  </si>
  <si>
    <t>Total Adjusted Expense &amp; Transfers</t>
  </si>
  <si>
    <t>Total Adjusted Income &amp; Transfers</t>
  </si>
  <si>
    <t>Operating Expense &amp; Transfers</t>
  </si>
  <si>
    <t>Operating Income &amp; Transfers</t>
  </si>
  <si>
    <t>* Compound Annual Growth Rate (CAGR) is the year-over-year percentage growth rate over the indicated time period - the trend.</t>
  </si>
  <si>
    <t>Setup Sheet</t>
  </si>
  <si>
    <t>A. History Input</t>
  </si>
  <si>
    <t>B. Historical Growth</t>
  </si>
  <si>
    <t>C. Endowment Investments</t>
  </si>
  <si>
    <t>D. Growth Plan</t>
  </si>
  <si>
    <t>E. Output</t>
  </si>
  <si>
    <t xml:space="preserve">Transfers to Capital </t>
  </si>
  <si>
    <t>Investment Income</t>
  </si>
  <si>
    <t xml:space="preserve"> - Less Jamboree Revenue</t>
  </si>
  <si>
    <t xml:space="preserve"> - Less Jamboree Expenses</t>
  </si>
  <si>
    <t>-Jamboree Revenue</t>
  </si>
  <si>
    <t>-Jamboree Expenses</t>
  </si>
  <si>
    <t>-Investment Income to Operating Fund</t>
  </si>
  <si>
    <t>Endowment Funds To Be Raised Current Year</t>
  </si>
  <si>
    <t>Gain or Loss on Transactions</t>
  </si>
  <si>
    <t>Gaiin or Loss on Transactions</t>
  </si>
  <si>
    <t>Unrestricted Transfers Between Funds</t>
  </si>
  <si>
    <t>Increase (Decrease) in Total Net Assets</t>
  </si>
  <si>
    <t>Total Adjsutments to Net Assets</t>
  </si>
  <si>
    <t>Forecasted Support to Operating Fund (Spending Policy)</t>
  </si>
  <si>
    <t>Expected Endowment Rate of Return (Annual %):</t>
  </si>
  <si>
    <t>Endowment Spending Policy (Annual %):</t>
  </si>
  <si>
    <t>Annual Endowment Earnings</t>
  </si>
  <si>
    <t>Endowment Funds Raised in Year</t>
  </si>
  <si>
    <t>Increase(Decrease) in Unrestricted Net Assets</t>
  </si>
  <si>
    <t>Adjustments to Net Assets</t>
  </si>
  <si>
    <t>Transfers</t>
  </si>
  <si>
    <t>Total Expenses</t>
  </si>
  <si>
    <t>Endowment Funds Raised/Transferred</t>
  </si>
  <si>
    <t>Total Expense</t>
  </si>
  <si>
    <t>Increase (Decrease) Unrestricted Net Assets</t>
  </si>
  <si>
    <t>number of years used to calculate annual amount and estimated Endowment earnings rate.</t>
  </si>
  <si>
    <t>on the model entries are on the History Input, Endowment and Growth Plan sheets. Rounding will cause Revenue, Expense and Net Asset totals to be off slightly.</t>
  </si>
  <si>
    <t>Do not estimate or enter the Jamboree expense!</t>
  </si>
  <si>
    <t>year as a result of rounding or adjustments made after the statement date. These small differences are immaterial and will not affect the results of the model.</t>
  </si>
  <si>
    <t>Resulting dollar amounts will be reflected on the Endowment Investment page in the Forecast section. and carry through the Growth Plan to the Output.</t>
  </si>
  <si>
    <t>These amounts will reduce the Endowment Balance for the purpose of the Endowment earnings forecast.</t>
  </si>
  <si>
    <t xml:space="preserve">-Enter information in Green cells only. </t>
  </si>
  <si>
    <t>-Enter the council Endowment Spending Policy information as indicated.  If the council does not have a Spending Policy estimate the policy variables - spending percentage,</t>
  </si>
  <si>
    <t>-Enter dollar amounts as actual amounts - i.e. 967,684 - or round off the last three digits - i.e. 968. If rounding is used, it must be consistent in every Green cell dollar entry</t>
  </si>
  <si>
    <t>-Enter Jamboree revenue, if known, where indicated in the activities section. The exact same amount will be subtracted from Expenses and the annual totals will not change.</t>
  </si>
  <si>
    <t xml:space="preserve">-Entering adjustments and transfers just as they appear on the Statement of Operations. These figures may be off by a small amount year to </t>
  </si>
  <si>
    <t>-Historical growth is presented in annual - i.e. year-to-year - percentage change. Compound annual growth is presented in percentage over the indicated period.</t>
  </si>
  <si>
    <t>-The sheet is locked and requires no entry - all figures are results of entries made on the History Input page.</t>
  </si>
  <si>
    <t>-Enter information in Green cells only. Required information is from Statement of Changes line items of the same name.</t>
  </si>
  <si>
    <t xml:space="preserve">-All other information on this page is referenced or computed. </t>
  </si>
  <si>
    <t>-After loading History and Endowment information, review the both the dollar and percentage trends in the Operating Fund History and Historical Growth pages.</t>
  </si>
  <si>
    <t>-Growth Plan assumptions are entered as annual percentage growth estimates in the Yellow cells and/or incremental dollar amounts in Green cells.</t>
  </si>
  <si>
    <t xml:space="preserve">-Incremental dollar amounts are entered only in the first year they happen - but not in subsequent years. </t>
  </si>
  <si>
    <t>-Enter Endowment campaign goals, in dollar or percentage, on Growth Plan in section at the bottom.</t>
  </si>
  <si>
    <t>-Dollars moved from the Endowment to the Capital fund are entered on the Growth Plan.</t>
  </si>
  <si>
    <t>-The sheet is locked and requires no entry.</t>
  </si>
  <si>
    <t>-Compare the dollar and percentage results on the Output to your Operating history trends and strategic plan goals or expectations.</t>
  </si>
  <si>
    <t>-Identify percentage or dollar trends that are materially off.Adjust percentage or incremental growth parameters on the Growth Plan. Review Output and repeat as needed.</t>
  </si>
  <si>
    <t xml:space="preserve">  A CAGR of less than 0 means that the growth trend is negative over that time period.</t>
  </si>
  <si>
    <t>-Jamboree Exp. (no entry-carried from line 24)</t>
  </si>
  <si>
    <t>ACTUAL</t>
  </si>
  <si>
    <t>BUDGET</t>
  </si>
  <si>
    <t>Budget</t>
  </si>
  <si>
    <t>FOS/Member</t>
  </si>
  <si>
    <t>Direct Support/Member</t>
  </si>
  <si>
    <t>Total Support and Revenue/Member</t>
  </si>
  <si>
    <t>Current Year</t>
  </si>
  <si>
    <t>Plan Year 1</t>
  </si>
  <si>
    <t>Plan Year 2</t>
  </si>
  <si>
    <t>Plan Year 3</t>
  </si>
  <si>
    <t>Plan Year 4</t>
  </si>
  <si>
    <t>Plan Year 5</t>
  </si>
  <si>
    <t>D. Financial Growth Plan</t>
  </si>
  <si>
    <t>Venturers</t>
  </si>
  <si>
    <t>Explorers</t>
  </si>
  <si>
    <t>Total Youth</t>
  </si>
  <si>
    <t>Membership Participation</t>
  </si>
  <si>
    <t>Actual</t>
  </si>
  <si>
    <t>Planned</t>
  </si>
  <si>
    <t>Incremental</t>
  </si>
  <si>
    <t>FOS/Total Youth</t>
  </si>
  <si>
    <t>Direct Support/Total Youth</t>
  </si>
  <si>
    <t>Total Support and Revenue/Youth</t>
  </si>
  <si>
    <t>$ Per Total Members</t>
  </si>
  <si>
    <t>$ Per Total Youth</t>
  </si>
  <si>
    <t>Total Net Endowment Assets, Beginning of Year</t>
  </si>
  <si>
    <t>Total Net Endowment Assets, End of Year</t>
  </si>
  <si>
    <t>Total Investment Income Support to Operating Fund</t>
  </si>
  <si>
    <r>
      <t xml:space="preserve">-Jamboree Revenue (enter as a </t>
    </r>
    <r>
      <rPr>
        <b/>
        <sz val="10"/>
        <rFont val="Arial"/>
        <family val="2"/>
      </rPr>
      <t>Positive</t>
    </r>
    <r>
      <rPr>
        <sz val="10"/>
        <rFont val="Arial"/>
        <family val="2"/>
      </rPr>
      <t xml:space="preserve"> number)</t>
    </r>
  </si>
  <si>
    <r>
      <t xml:space="preserve">      Investment Return for Total Endowment in green squares on</t>
    </r>
    <r>
      <rPr>
        <b/>
        <sz val="12"/>
        <rFont val="Arial"/>
        <family val="2"/>
      </rPr>
      <t xml:space="preserve"> </t>
    </r>
    <r>
      <rPr>
        <b/>
        <i/>
        <sz val="12"/>
        <color indexed="17"/>
        <rFont val="Arial"/>
        <family val="2"/>
      </rPr>
      <t>Setup Sheet</t>
    </r>
    <r>
      <rPr>
        <sz val="12"/>
        <rFont val="Arial"/>
        <family val="2"/>
      </rPr>
      <t>.</t>
    </r>
  </si>
  <si>
    <r>
      <t xml:space="preserve">     in green cells (</t>
    </r>
    <r>
      <rPr>
        <b/>
        <sz val="12"/>
        <rFont val="Arial"/>
        <family val="2"/>
      </rPr>
      <t>only!</t>
    </r>
    <r>
      <rPr>
        <sz val="12"/>
        <rFont val="Arial"/>
        <family val="2"/>
      </rPr>
      <t>) on</t>
    </r>
    <r>
      <rPr>
        <sz val="12"/>
        <color indexed="17"/>
        <rFont val="Arial"/>
        <family val="2"/>
      </rPr>
      <t xml:space="preserve"> </t>
    </r>
    <r>
      <rPr>
        <b/>
        <i/>
        <sz val="12"/>
        <color indexed="17"/>
        <rFont val="Arial"/>
        <family val="2"/>
      </rPr>
      <t>Sheet C. Endowment Investments</t>
    </r>
    <r>
      <rPr>
        <sz val="12"/>
        <rFont val="Arial"/>
        <family val="2"/>
      </rPr>
      <t>. All other values will be computed or referenced.</t>
    </r>
  </si>
  <si>
    <r>
      <t xml:space="preserve">     </t>
    </r>
    <r>
      <rPr>
        <b/>
        <i/>
        <sz val="12"/>
        <rFont val="Arial"/>
        <family val="2"/>
      </rPr>
      <t xml:space="preserve"> </t>
    </r>
    <r>
      <rPr>
        <b/>
        <i/>
        <sz val="12"/>
        <color indexed="17"/>
        <rFont val="Arial"/>
        <family val="2"/>
      </rPr>
      <t>Sheet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2"/>
        <color indexed="17"/>
        <rFont val="Arial"/>
        <family val="2"/>
      </rPr>
      <t>C. Endowment Investments</t>
    </r>
    <r>
      <rPr>
        <sz val="12"/>
        <rFont val="Arial"/>
        <family val="2"/>
      </rPr>
      <t>.</t>
    </r>
  </si>
  <si>
    <r>
      <t xml:space="preserve">     Annual Investment Income calculated on </t>
    </r>
    <r>
      <rPr>
        <b/>
        <i/>
        <sz val="12"/>
        <color indexed="17"/>
        <rFont val="Arial"/>
        <family val="2"/>
      </rPr>
      <t>Sheet C. Endowment Investments</t>
    </r>
    <r>
      <rPr>
        <sz val="12"/>
        <rFont val="Arial"/>
        <family val="2"/>
      </rPr>
      <t xml:space="preserve"> will carry over from</t>
    </r>
    <r>
      <rPr>
        <b/>
        <i/>
        <sz val="12"/>
        <color indexed="17"/>
        <rFont val="Arial"/>
        <family val="2"/>
      </rPr>
      <t xml:space="preserve"> Sheet C</t>
    </r>
    <r>
      <rPr>
        <b/>
        <i/>
        <sz val="12"/>
        <color indexed="48"/>
        <rFont val="Arial"/>
        <family val="2"/>
      </rPr>
      <t>.</t>
    </r>
    <r>
      <rPr>
        <b/>
        <i/>
        <sz val="12"/>
        <rFont val="Arial"/>
        <family val="2"/>
      </rPr>
      <t xml:space="preserve"> - do not re-enter or change</t>
    </r>
    <r>
      <rPr>
        <sz val="12"/>
        <rFont val="Arial"/>
        <family val="2"/>
      </rPr>
      <t>.</t>
    </r>
  </si>
  <si>
    <t>Membership History and Planning</t>
  </si>
  <si>
    <r>
      <t>Investment Income (from</t>
    </r>
    <r>
      <rPr>
        <sz val="10"/>
        <color indexed="17"/>
        <rFont val="Arial"/>
        <family val="2"/>
      </rPr>
      <t xml:space="preserve"> </t>
    </r>
    <r>
      <rPr>
        <b/>
        <i/>
        <sz val="10"/>
        <color indexed="17"/>
        <rFont val="Arial"/>
        <family val="2"/>
      </rPr>
      <t>Sheet C</t>
    </r>
    <r>
      <rPr>
        <b/>
        <i/>
        <sz val="10"/>
        <color indexed="48"/>
        <rFont val="Arial"/>
        <family val="2"/>
      </rPr>
      <t>.)</t>
    </r>
  </si>
  <si>
    <t>Cub Scouts (including Tiger and Webelos)</t>
  </si>
  <si>
    <t>Boy Scouts (including Varsity Scouts)</t>
  </si>
  <si>
    <t>% growth</t>
  </si>
  <si>
    <t>Total Traditional Members</t>
  </si>
  <si>
    <t>PLAN</t>
  </si>
  <si>
    <r>
      <t xml:space="preserve">-Jamboree Rev Est. (enter as </t>
    </r>
    <r>
      <rPr>
        <b/>
        <sz val="12"/>
        <rFont val="Arial"/>
        <family val="2"/>
      </rPr>
      <t>Positive</t>
    </r>
    <r>
      <rPr>
        <sz val="12"/>
        <rFont val="Arial"/>
        <family val="2"/>
      </rPr>
      <t xml:space="preserve"> number)</t>
    </r>
  </si>
  <si>
    <t>Membership</t>
  </si>
  <si>
    <t xml:space="preserve">  Total Traditional</t>
  </si>
  <si>
    <t xml:space="preserve">  Total Youth</t>
  </si>
  <si>
    <t>Boy Scouts</t>
  </si>
  <si>
    <t>Cub Scouts (including Tigers and Webelos)</t>
  </si>
  <si>
    <t>Employee Compensation/Total Youth</t>
  </si>
  <si>
    <t>Total Support and Revenue/Traditional</t>
  </si>
  <si>
    <t xml:space="preserve">Direct Support/Traditional </t>
  </si>
  <si>
    <t>FOS/Traditional</t>
  </si>
  <si>
    <t>Employee Compensation/Traditional</t>
  </si>
  <si>
    <t>Total Support and Revenue/Total Youth</t>
  </si>
  <si>
    <t>Change</t>
  </si>
  <si>
    <t>Total Expenses/Traditional</t>
  </si>
  <si>
    <t>Total Expenses/Total Youth</t>
  </si>
  <si>
    <t>Employee Compensation/Member</t>
  </si>
  <si>
    <t>Total Expenses/Member</t>
  </si>
  <si>
    <t>\</t>
  </si>
  <si>
    <t>]]]]]]]]]]]]]]]</t>
  </si>
  <si>
    <t xml:space="preserve">  FOS/Member</t>
  </si>
  <si>
    <t xml:space="preserve">  Direct Support/Member</t>
  </si>
  <si>
    <t xml:space="preserve">  Total Support and Revenue/Member</t>
  </si>
  <si>
    <t xml:space="preserve">  Employee Compensation/Member</t>
  </si>
  <si>
    <t xml:space="preserve">  Total Expenses/Member</t>
  </si>
  <si>
    <t xml:space="preserve">  FOS/Total Youth</t>
  </si>
  <si>
    <t xml:space="preserve">  Direct Support/Total Youth</t>
  </si>
  <si>
    <t xml:space="preserve">  Total Support and Revenue/Youth</t>
  </si>
  <si>
    <t xml:space="preserve">  Employee Compensation/Total Youth</t>
  </si>
  <si>
    <t xml:space="preserve">  Total Expenses/Total Youth</t>
  </si>
  <si>
    <r>
      <rPr>
        <b/>
        <sz val="12"/>
        <rFont val="Arial"/>
        <family val="2"/>
      </rPr>
      <t>4.</t>
    </r>
    <r>
      <rPr>
        <sz val="12"/>
        <rFont val="Arial"/>
        <family val="2"/>
      </rPr>
      <t xml:space="preserve"> Do not enter anything on</t>
    </r>
    <r>
      <rPr>
        <b/>
        <i/>
        <sz val="12"/>
        <color indexed="12"/>
        <rFont val="Arial"/>
        <family val="2"/>
      </rPr>
      <t xml:space="preserve"> </t>
    </r>
    <r>
      <rPr>
        <b/>
        <i/>
        <sz val="12"/>
        <color indexed="17"/>
        <rFont val="Arial"/>
        <family val="2"/>
      </rPr>
      <t>Sheet B. Historical Growth</t>
    </r>
    <r>
      <rPr>
        <b/>
        <i/>
        <sz val="12"/>
        <rFont val="Arial"/>
        <family val="2"/>
      </rPr>
      <t>.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It will display the annual % growth and CAGRs for Actual(4y) Budget(5y).</t>
    </r>
  </si>
  <si>
    <r>
      <rPr>
        <b/>
        <sz val="12"/>
        <rFont val="Arial"/>
        <family val="2"/>
      </rPr>
      <t>5.</t>
    </r>
    <r>
      <rPr>
        <sz val="12"/>
        <rFont val="Arial"/>
        <family val="2"/>
      </rPr>
      <t xml:space="preserve"> Enter Endowment Fund beginning Net Assets (Year 1 only), Inc (Dec), Transfers, Adjustment from Statement of Changes in Net Assets</t>
    </r>
  </si>
  <si>
    <r>
      <rPr>
        <b/>
        <sz val="12"/>
        <rFont val="Arial"/>
        <family val="2"/>
      </rPr>
      <t>7.</t>
    </r>
    <r>
      <rPr>
        <sz val="12"/>
        <rFont val="Arial"/>
        <family val="2"/>
      </rPr>
      <t xml:space="preserve"> Review</t>
    </r>
    <r>
      <rPr>
        <b/>
        <i/>
        <sz val="12"/>
        <color indexed="12"/>
        <rFont val="Arial"/>
        <family val="2"/>
      </rPr>
      <t xml:space="preserve"> </t>
    </r>
    <r>
      <rPr>
        <b/>
        <i/>
        <sz val="12"/>
        <color indexed="17"/>
        <rFont val="Arial"/>
        <family val="2"/>
      </rPr>
      <t>Sheet A. History Input</t>
    </r>
    <r>
      <rPr>
        <sz val="12"/>
        <rFont val="Arial"/>
        <family val="2"/>
      </rPr>
      <t xml:space="preserve"> and </t>
    </r>
    <r>
      <rPr>
        <b/>
        <i/>
        <sz val="12"/>
        <color indexed="17"/>
        <rFont val="Arial"/>
        <family val="2"/>
      </rPr>
      <t>Sheet B. Historical Growth</t>
    </r>
    <r>
      <rPr>
        <b/>
        <i/>
        <sz val="12"/>
        <color indexed="12"/>
        <rFont val="Arial"/>
        <family val="2"/>
      </rPr>
      <t>.</t>
    </r>
    <r>
      <rPr>
        <sz val="12"/>
        <rFont val="Arial"/>
        <family val="2"/>
      </rPr>
      <t xml:space="preserve"> Note trends and changes for revenue and expense items.</t>
    </r>
  </si>
  <si>
    <r>
      <rPr>
        <b/>
        <sz val="12"/>
        <rFont val="Arial"/>
        <family val="2"/>
      </rPr>
      <t>8.</t>
    </r>
    <r>
      <rPr>
        <sz val="12"/>
        <rFont val="Arial"/>
        <family val="2"/>
      </rPr>
      <t xml:space="preserve">  Enter an annual percentage growth factor and/or incremental dollar value for every revenue and expense item on </t>
    </r>
    <r>
      <rPr>
        <b/>
        <i/>
        <sz val="12"/>
        <color indexed="17"/>
        <rFont val="Arial"/>
        <family val="2"/>
      </rPr>
      <t xml:space="preserve"> Sheet D. Growth Plan</t>
    </r>
  </si>
  <si>
    <r>
      <rPr>
        <b/>
        <sz val="12"/>
        <rFont val="Arial"/>
        <family val="2"/>
      </rPr>
      <t>9.</t>
    </r>
    <r>
      <rPr>
        <b/>
        <sz val="12"/>
        <color indexed="17"/>
        <rFont val="Arial"/>
        <family val="2"/>
      </rPr>
      <t xml:space="preserve"> </t>
    </r>
    <r>
      <rPr>
        <b/>
        <i/>
        <sz val="12"/>
        <color indexed="17"/>
        <rFont val="Arial"/>
        <family val="2"/>
      </rPr>
      <t>Sheet E. Output</t>
    </r>
    <r>
      <rPr>
        <b/>
        <i/>
        <sz val="12"/>
        <color indexed="12"/>
        <rFont val="Arial"/>
        <family val="2"/>
      </rPr>
      <t xml:space="preserve"> </t>
    </r>
    <r>
      <rPr>
        <sz val="12"/>
        <rFont val="Arial"/>
        <family val="2"/>
      </rPr>
      <t xml:space="preserve"> will display the Five Year Plan incorprating all input - do not enter or change anything on this sheet</t>
    </r>
  </si>
  <si>
    <r>
      <rPr>
        <b/>
        <sz val="12"/>
        <rFont val="Arial"/>
        <family val="2"/>
      </rPr>
      <t xml:space="preserve">10. Review </t>
    </r>
    <r>
      <rPr>
        <b/>
        <i/>
        <sz val="12"/>
        <color indexed="17"/>
        <rFont val="Arial"/>
        <family val="2"/>
      </rPr>
      <t>Sheet E. Output</t>
    </r>
    <r>
      <rPr>
        <b/>
        <i/>
        <sz val="12"/>
        <color indexed="12"/>
        <rFont val="Arial"/>
        <family val="2"/>
      </rPr>
      <t>.</t>
    </r>
    <r>
      <rPr>
        <sz val="12"/>
        <rFont val="Arial"/>
        <family val="2"/>
      </rPr>
      <t xml:space="preserve"> Make adjustments to Plan by changing growth assumptions on Sheet D. Growth Plan.</t>
    </r>
  </si>
  <si>
    <t>Example Council Membership Planning</t>
  </si>
  <si>
    <r>
      <rPr>
        <b/>
        <sz val="12"/>
        <rFont val="Arial"/>
        <family val="2"/>
      </rPr>
      <t>2.</t>
    </r>
    <r>
      <rPr>
        <sz val="12"/>
        <rFont val="Arial"/>
        <family val="2"/>
      </rPr>
      <t xml:space="preserve"> Enter 5 year membership history in green squares on</t>
    </r>
    <r>
      <rPr>
        <b/>
        <i/>
        <sz val="12"/>
        <color indexed="12"/>
        <rFont val="Arial"/>
        <family val="2"/>
      </rPr>
      <t xml:space="preserve"> </t>
    </r>
    <r>
      <rPr>
        <b/>
        <i/>
        <sz val="12"/>
        <color indexed="17"/>
        <rFont val="Arial"/>
        <family val="2"/>
      </rPr>
      <t>Membership History and Planning Sheet</t>
    </r>
    <r>
      <rPr>
        <b/>
        <i/>
        <sz val="12"/>
        <color indexed="12"/>
        <rFont val="Arial"/>
        <family val="2"/>
      </rPr>
      <t>.</t>
    </r>
  </si>
  <si>
    <r>
      <rPr>
        <b/>
        <sz val="12"/>
        <rFont val="Arial"/>
        <family val="2"/>
      </rPr>
      <t>3.</t>
    </r>
    <r>
      <rPr>
        <sz val="12"/>
        <rFont val="Arial"/>
        <family val="2"/>
      </rPr>
      <t xml:space="preserve"> Enter 5 year operating financial  history in green squares on</t>
    </r>
    <r>
      <rPr>
        <b/>
        <i/>
        <sz val="12"/>
        <color indexed="12"/>
        <rFont val="Arial"/>
        <family val="2"/>
      </rPr>
      <t xml:space="preserve"> </t>
    </r>
    <r>
      <rPr>
        <b/>
        <i/>
        <sz val="12"/>
        <color indexed="17"/>
        <rFont val="Arial"/>
        <family val="2"/>
      </rPr>
      <t>Sheet A. History Input</t>
    </r>
    <r>
      <rPr>
        <b/>
        <i/>
        <sz val="12"/>
        <rFont val="Arial"/>
        <family val="2"/>
      </rPr>
      <t>. Input is taken directly from Comparative Statement of Operations</t>
    </r>
  </si>
  <si>
    <t xml:space="preserve">-Enter 5 year Membership History in green cells only. </t>
  </si>
  <si>
    <t>-Enter current year Membership Plan additions by number in green cells.</t>
  </si>
  <si>
    <t>-Enter Council membeship plan growth by category in each of plan years.</t>
  </si>
  <si>
    <r>
      <t>Activities</t>
    </r>
    <r>
      <rPr>
        <b/>
        <sz val="14"/>
        <rFont val="Arial"/>
        <family val="2"/>
      </rPr>
      <t xml:space="preserve"> Net</t>
    </r>
  </si>
  <si>
    <t>201 Budget or Forecast?:</t>
  </si>
  <si>
    <t>Current Year:</t>
  </si>
  <si>
    <t>% Annual Growth</t>
  </si>
  <si>
    <t>4 Year</t>
  </si>
  <si>
    <t>ACTUAL CAGR</t>
  </si>
  <si>
    <t>% Budget Growth</t>
  </si>
  <si>
    <t>5 Year</t>
  </si>
  <si>
    <t>BUDGET CAGR</t>
  </si>
  <si>
    <t>Estimate</t>
  </si>
  <si>
    <t>-Enter dollar or percentage growth goals from the Council Strategic Plan using the same logic.</t>
  </si>
  <si>
    <t xml:space="preserve">Five Year Operating and Membership Plan </t>
  </si>
  <si>
    <r>
      <rPr>
        <b/>
        <sz val="12"/>
        <rFont val="Arial"/>
        <family val="2"/>
      </rPr>
      <t>6.</t>
    </r>
    <r>
      <rPr>
        <sz val="12"/>
        <rFont val="Arial"/>
        <family val="2"/>
      </rPr>
      <t xml:space="preserve"> Spending Policy %, Years and Total Return as entered on</t>
    </r>
    <r>
      <rPr>
        <b/>
        <i/>
        <sz val="12"/>
        <color indexed="17"/>
        <rFont val="Arial"/>
        <family val="2"/>
      </rPr>
      <t xml:space="preserve"> Setup</t>
    </r>
    <r>
      <rPr>
        <sz val="12"/>
        <rFont val="Arial"/>
        <family val="2"/>
      </rPr>
      <t xml:space="preserve"> will appear in </t>
    </r>
    <r>
      <rPr>
        <b/>
        <sz val="12"/>
        <rFont val="Arial"/>
        <family val="2"/>
      </rPr>
      <t>Endowment Forecast</t>
    </r>
    <r>
      <rPr>
        <sz val="12"/>
        <rFont val="Arial"/>
        <family val="2"/>
      </rPr>
      <t xml:space="preserve"> section of</t>
    </r>
  </si>
  <si>
    <t>Scouts (including Varsity Scouts)</t>
  </si>
  <si>
    <t>Net Income Short of 5% of Revenue</t>
  </si>
  <si>
    <t>Enter in Green cells only. Council Statement of Operations is source for actual data for 2014-2018. Council forecast or actual for 2019. Council budget is source for 2020.</t>
  </si>
  <si>
    <r>
      <rPr>
        <b/>
        <sz val="12"/>
        <rFont val="Arial"/>
        <family val="2"/>
      </rPr>
      <t>1.</t>
    </r>
    <r>
      <rPr>
        <sz val="12"/>
        <rFont val="Arial"/>
        <family val="2"/>
      </rPr>
      <t xml:space="preserve"> Enter Council Name, Current Year,  Endowment Spending %, Endowment Years for Spending Calculation and Expected</t>
    </r>
  </si>
  <si>
    <t>-If you are adding a new Special Event (i.e. Sporting Clays) in Budget Year and think that event will net 15,000 in the Budget Year, enter 15,000 in the Budget Year Green area only.</t>
  </si>
  <si>
    <t>If same Special Events is to continue in the Forecast Year - including Sporting Clays - enter only a percentage growth factor for Special Events in the Forecast Years (not another incremental dollar figure).</t>
  </si>
  <si>
    <t>XXX Council</t>
  </si>
  <si>
    <t>TAB COLORS</t>
  </si>
  <si>
    <t>These tabs show Historical and Future Years</t>
  </si>
  <si>
    <t>This tab requires input for Future Years</t>
  </si>
  <si>
    <t>Cell Colors</t>
  </si>
  <si>
    <t>These cells require input</t>
  </si>
  <si>
    <t>Input Req.</t>
  </si>
  <si>
    <r>
      <t xml:space="preserve">Spending Policy Annual % Rate (from </t>
    </r>
    <r>
      <rPr>
        <b/>
        <i/>
        <sz val="12"/>
        <color indexed="17"/>
        <rFont val="Arial"/>
        <family val="2"/>
      </rPr>
      <t>Setup</t>
    </r>
    <r>
      <rPr>
        <sz val="12"/>
        <rFont val="Arial"/>
        <family val="2"/>
      </rPr>
      <t>)</t>
    </r>
  </si>
  <si>
    <r>
      <t>Number of Prior Years Used For Averaging Investments (from</t>
    </r>
    <r>
      <rPr>
        <b/>
        <i/>
        <sz val="12"/>
        <color indexed="48"/>
        <rFont val="Arial"/>
        <family val="2"/>
      </rPr>
      <t xml:space="preserve"> </t>
    </r>
    <r>
      <rPr>
        <b/>
        <i/>
        <sz val="12"/>
        <color indexed="17"/>
        <rFont val="Arial"/>
        <family val="2"/>
      </rPr>
      <t>Setup</t>
    </r>
    <r>
      <rPr>
        <sz val="12"/>
        <rFont val="Arial"/>
        <family val="2"/>
      </rPr>
      <t>)</t>
    </r>
  </si>
  <si>
    <r>
      <t xml:space="preserve">Estimated Rate of Return on Endowment Investments (from </t>
    </r>
    <r>
      <rPr>
        <b/>
        <i/>
        <sz val="12"/>
        <color indexed="48"/>
        <rFont val="Arial"/>
        <family val="2"/>
      </rPr>
      <t>Setup</t>
    </r>
    <r>
      <rPr>
        <sz val="12"/>
        <rFont val="Arial"/>
        <family val="2"/>
      </rPr>
      <t>)</t>
    </r>
  </si>
  <si>
    <r>
      <t>-Transfers to Capital Fund (from</t>
    </r>
    <r>
      <rPr>
        <b/>
        <i/>
        <sz val="12"/>
        <color indexed="17"/>
        <rFont val="Arial"/>
        <family val="2"/>
      </rPr>
      <t xml:space="preserve"> Sheet D. Growth Plan</t>
    </r>
    <r>
      <rPr>
        <sz val="12"/>
        <rFont val="Arial"/>
        <family val="2"/>
      </rPr>
      <t>)</t>
    </r>
  </si>
  <si>
    <r>
      <t xml:space="preserve">                                                 (from</t>
    </r>
    <r>
      <rPr>
        <b/>
        <i/>
        <sz val="12"/>
        <color indexed="48"/>
        <rFont val="Arial"/>
        <family val="2"/>
      </rPr>
      <t xml:space="preserve"> </t>
    </r>
    <r>
      <rPr>
        <b/>
        <i/>
        <sz val="12"/>
        <color indexed="17"/>
        <rFont val="Arial"/>
        <family val="2"/>
      </rPr>
      <t>Sheet D. Growth Plan</t>
    </r>
    <r>
      <rPr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</si>
</sst>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.0%;[Red]\(#.0%\)"/>
    <numFmt numFmtId="166" formatCode="#0.0%;[Red]\(#0.0%\)"/>
    <numFmt numFmtId="167" formatCode="_(* #,##0_);_(* \(#,##0\);_(* &quot;-&quot;??_);_(@_)"/>
    <numFmt numFmtId="168" formatCode="&quot;$&quot;#,##0"/>
    <numFmt numFmtId="169" formatCode="_(&quot;$&quot;* #,##0_);_(&quot;$&quot;* \(#,##0\);_(&quot;$&quot;* &quot;-&quot;??_);_(@_)"/>
  </numFmts>
  <fonts count="55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6"/>
      <name val="Arial Black"/>
      <family val="2"/>
    </font>
    <font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8"/>
      <color indexed="10"/>
      <name val="Arial"/>
      <family val="2"/>
    </font>
    <font>
      <b/>
      <i/>
      <sz val="12"/>
      <color indexed="12"/>
      <name val="Arial"/>
      <family val="2"/>
    </font>
    <font>
      <sz val="9"/>
      <name val="Arial"/>
      <family val="2"/>
    </font>
    <font>
      <b/>
      <i/>
      <sz val="12"/>
      <color indexed="48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b/>
      <i/>
      <sz val="10"/>
      <color indexed="48"/>
      <name val="Arial"/>
      <family val="2"/>
    </font>
    <font>
      <sz val="10"/>
      <color indexed="10"/>
      <name val="Arial"/>
      <family val="2"/>
    </font>
    <font>
      <b/>
      <i/>
      <sz val="12"/>
      <color indexed="17"/>
      <name val="Arial"/>
      <family val="2"/>
    </font>
    <font>
      <sz val="12"/>
      <color indexed="17"/>
      <name val="Arial"/>
      <family val="2"/>
    </font>
    <font>
      <b/>
      <i/>
      <sz val="10"/>
      <color indexed="17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16"/>
      <name val="Arial Black"/>
      <family val="2"/>
    </font>
    <font>
      <u val="singleAccounting"/>
      <sz val="12"/>
      <name val="Arial"/>
      <family val="2"/>
    </font>
    <font>
      <u/>
      <sz val="9"/>
      <name val="Arial"/>
      <family val="2"/>
    </font>
    <font>
      <sz val="14"/>
      <name val="Arial"/>
      <family val="2"/>
    </font>
    <font>
      <sz val="14"/>
      <name val="Arial Black"/>
      <family val="2"/>
    </font>
    <font>
      <b/>
      <u/>
      <sz val="14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i/>
      <sz val="14"/>
      <color rgb="FF008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u/>
      <sz val="12"/>
      <color rgb="FF008000"/>
      <name val="Arial"/>
      <family val="2"/>
    </font>
    <font>
      <b/>
      <i/>
      <sz val="12"/>
      <color rgb="FF008000"/>
      <name val="Arial"/>
      <family val="2"/>
    </font>
    <font>
      <b/>
      <i/>
      <sz val="12"/>
      <color rgb="FF3366FF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sz val="12"/>
      <name val="Arial Black"/>
      <family val="2"/>
    </font>
    <font>
      <u/>
      <sz val="12"/>
      <name val="Arial"/>
      <family val="2"/>
    </font>
    <font>
      <b/>
      <sz val="12"/>
      <color indexed="10"/>
      <name val="Arial"/>
      <family val="2"/>
    </font>
    <font>
      <sz val="12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rgb="FF99CC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/>
      <right/>
      <top style="mediumDashDot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5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4" applyNumberFormat="1" applyFont="1" applyAlignment="1">
      <alignment horizontal="center"/>
    </xf>
    <xf numFmtId="0" fontId="3" fillId="0" borderId="0" xfId="0" applyFont="1"/>
    <xf numFmtId="37" fontId="2" fillId="2" borderId="1" xfId="0" applyNumberFormat="1" applyFont="1" applyFill="1" applyBorder="1"/>
    <xf numFmtId="164" fontId="2" fillId="0" borderId="0" xfId="4" applyNumberFormat="1" applyFont="1"/>
    <xf numFmtId="0" fontId="4" fillId="0" borderId="0" xfId="0" applyFont="1"/>
    <xf numFmtId="37" fontId="4" fillId="0" borderId="0" xfId="0" applyNumberFormat="1" applyFont="1"/>
    <xf numFmtId="164" fontId="4" fillId="0" borderId="0" xfId="4" applyNumberFormat="1" applyFont="1"/>
    <xf numFmtId="37" fontId="2" fillId="2" borderId="2" xfId="0" applyNumberFormat="1" applyFont="1" applyFill="1" applyBorder="1"/>
    <xf numFmtId="37" fontId="2" fillId="2" borderId="3" xfId="0" applyNumberFormat="1" applyFont="1" applyFill="1" applyBorder="1"/>
    <xf numFmtId="37" fontId="2" fillId="2" borderId="4" xfId="0" applyNumberFormat="1" applyFont="1" applyFill="1" applyBorder="1"/>
    <xf numFmtId="37" fontId="2" fillId="0" borderId="0" xfId="0" applyNumberFormat="1" applyFont="1"/>
    <xf numFmtId="0" fontId="2" fillId="0" borderId="0" xfId="0" applyFont="1" applyAlignment="1">
      <alignment horizontal="center"/>
    </xf>
    <xf numFmtId="164" fontId="2" fillId="0" borderId="0" xfId="4" applyNumberFormat="1" applyFont="1" applyAlignment="1">
      <alignment horizontal="center"/>
    </xf>
    <xf numFmtId="164" fontId="4" fillId="0" borderId="0" xfId="4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 wrapText="1"/>
    </xf>
    <xf numFmtId="37" fontId="2" fillId="0" borderId="0" xfId="0" applyNumberFormat="1" applyFont="1" applyFill="1" applyBorder="1"/>
    <xf numFmtId="37" fontId="4" fillId="0" borderId="0" xfId="0" applyNumberFormat="1" applyFont="1" applyFill="1"/>
    <xf numFmtId="0" fontId="8" fillId="0" borderId="0" xfId="0" applyFont="1" applyAlignment="1">
      <alignment vertical="center"/>
    </xf>
    <xf numFmtId="37" fontId="4" fillId="0" borderId="5" xfId="0" applyNumberFormat="1" applyFont="1" applyFill="1" applyBorder="1"/>
    <xf numFmtId="37" fontId="2" fillId="0" borderId="4" xfId="0" applyNumberFormat="1" applyFont="1" applyFill="1" applyBorder="1"/>
    <xf numFmtId="164" fontId="3" fillId="0" borderId="0" xfId="4" applyNumberFormat="1" applyFont="1" applyFill="1" applyBorder="1" applyAlignment="1">
      <alignment horizontal="center"/>
    </xf>
    <xf numFmtId="164" fontId="4" fillId="0" borderId="0" xfId="4" applyNumberFormat="1" applyFont="1" applyFill="1" applyBorder="1" applyAlignment="1">
      <alignment horizontal="center"/>
    </xf>
    <xf numFmtId="164" fontId="3" fillId="0" borderId="5" xfId="4" applyNumberFormat="1" applyFont="1" applyBorder="1" applyAlignment="1">
      <alignment horizontal="center"/>
    </xf>
    <xf numFmtId="164" fontId="4" fillId="0" borderId="5" xfId="4" applyNumberFormat="1" applyFont="1" applyBorder="1" applyAlignment="1">
      <alignment horizontal="center"/>
    </xf>
    <xf numFmtId="0" fontId="10" fillId="0" borderId="0" xfId="0" applyFont="1"/>
    <xf numFmtId="38" fontId="4" fillId="0" borderId="0" xfId="0" applyNumberFormat="1" applyFont="1"/>
    <xf numFmtId="38" fontId="4" fillId="0" borderId="0" xfId="4" applyNumberFormat="1" applyFont="1" applyAlignment="1">
      <alignment horizontal="center"/>
    </xf>
    <xf numFmtId="38" fontId="4" fillId="0" borderId="0" xfId="4" applyNumberFormat="1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49" fontId="12" fillId="0" borderId="0" xfId="0" applyNumberFormat="1" applyFont="1" applyAlignment="1"/>
    <xf numFmtId="167" fontId="16" fillId="0" borderId="0" xfId="1" applyNumberFormat="1" applyFont="1"/>
    <xf numFmtId="0" fontId="18" fillId="0" borderId="0" xfId="0" applyFont="1"/>
    <xf numFmtId="164" fontId="4" fillId="5" borderId="5" xfId="4" applyNumberFormat="1" applyFont="1" applyFill="1" applyBorder="1" applyAlignment="1">
      <alignment horizontal="center"/>
    </xf>
    <xf numFmtId="164" fontId="2" fillId="5" borderId="5" xfId="4" applyNumberFormat="1" applyFont="1" applyFill="1" applyBorder="1"/>
    <xf numFmtId="0" fontId="2" fillId="0" borderId="0" xfId="0" applyFont="1" applyAlignment="1"/>
    <xf numFmtId="164" fontId="12" fillId="5" borderId="0" xfId="4" applyNumberFormat="1" applyFont="1" applyFill="1" applyAlignment="1">
      <alignment horizontal="left"/>
    </xf>
    <xf numFmtId="0" fontId="15" fillId="0" borderId="0" xfId="0" applyFont="1" applyAlignment="1">
      <alignment horizontal="center"/>
    </xf>
    <xf numFmtId="164" fontId="39" fillId="0" borderId="0" xfId="4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0" fillId="0" borderId="0" xfId="0" applyFont="1"/>
    <xf numFmtId="166" fontId="4" fillId="5" borderId="2" xfId="4" applyNumberFormat="1" applyFont="1" applyFill="1" applyBorder="1"/>
    <xf numFmtId="1" fontId="12" fillId="0" borderId="0" xfId="0" applyNumberFormat="1" applyFont="1"/>
    <xf numFmtId="167" fontId="5" fillId="0" borderId="0" xfId="1" applyNumberFormat="1" applyFont="1"/>
    <xf numFmtId="0" fontId="5" fillId="0" borderId="0" xfId="0" applyFont="1" applyAlignment="1">
      <alignment horizontal="right"/>
    </xf>
    <xf numFmtId="167" fontId="12" fillId="6" borderId="0" xfId="1" applyNumberFormat="1" applyFont="1" applyFill="1"/>
    <xf numFmtId="0" fontId="12" fillId="6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21" fillId="0" borderId="0" xfId="0" applyFont="1"/>
    <xf numFmtId="0" fontId="0" fillId="0" borderId="0" xfId="0" quotePrefix="1" applyFont="1"/>
    <xf numFmtId="37" fontId="10" fillId="0" borderId="0" xfId="0" applyNumberFormat="1" applyFont="1"/>
    <xf numFmtId="37" fontId="10" fillId="0" borderId="5" xfId="0" applyNumberFormat="1" applyFont="1" applyFill="1" applyBorder="1"/>
    <xf numFmtId="164" fontId="9" fillId="4" borderId="8" xfId="4" applyNumberFormat="1" applyFont="1" applyFill="1" applyBorder="1" applyAlignment="1">
      <alignment horizontal="center"/>
    </xf>
    <xf numFmtId="37" fontId="9" fillId="6" borderId="1" xfId="0" applyNumberFormat="1" applyFont="1" applyFill="1" applyBorder="1"/>
    <xf numFmtId="37" fontId="9" fillId="6" borderId="9" xfId="0" applyNumberFormat="1" applyFont="1" applyFill="1" applyBorder="1"/>
    <xf numFmtId="37" fontId="9" fillId="6" borderId="10" xfId="0" applyNumberFormat="1" applyFont="1" applyFill="1" applyBorder="1"/>
    <xf numFmtId="0" fontId="10" fillId="0" borderId="0" xfId="0" applyFont="1" applyAlignment="1">
      <alignment horizontal="center"/>
    </xf>
    <xf numFmtId="37" fontId="9" fillId="6" borderId="2" xfId="0" applyNumberFormat="1" applyFont="1" applyFill="1" applyBorder="1"/>
    <xf numFmtId="37" fontId="9" fillId="6" borderId="3" xfId="0" applyNumberFormat="1" applyFont="1" applyFill="1" applyBorder="1"/>
    <xf numFmtId="37" fontId="9" fillId="6" borderId="4" xfId="0" applyNumberFormat="1" applyFont="1" applyFill="1" applyBorder="1"/>
    <xf numFmtId="164" fontId="9" fillId="0" borderId="8" xfId="4" applyNumberFormat="1" applyFont="1" applyFill="1" applyBorder="1" applyAlignment="1">
      <alignment horizontal="center"/>
    </xf>
    <xf numFmtId="37" fontId="9" fillId="7" borderId="4" xfId="0" applyNumberFormat="1" applyFont="1" applyFill="1" applyBorder="1"/>
    <xf numFmtId="37" fontId="9" fillId="0" borderId="3" xfId="0" applyNumberFormat="1" applyFont="1" applyFill="1" applyBorder="1"/>
    <xf numFmtId="164" fontId="9" fillId="4" borderId="11" xfId="4" applyNumberFormat="1" applyFont="1" applyFill="1" applyBorder="1" applyAlignment="1">
      <alignment horizontal="center"/>
    </xf>
    <xf numFmtId="37" fontId="9" fillId="6" borderId="6" xfId="0" applyNumberFormat="1" applyFont="1" applyFill="1" applyBorder="1"/>
    <xf numFmtId="164" fontId="9" fillId="0" borderId="0" xfId="4" applyNumberFormat="1" applyFont="1" applyFill="1" applyBorder="1" applyAlignment="1">
      <alignment horizontal="center"/>
    </xf>
    <xf numFmtId="37" fontId="9" fillId="0" borderId="0" xfId="0" applyNumberFormat="1" applyFont="1" applyFill="1" applyBorder="1"/>
    <xf numFmtId="0" fontId="9" fillId="0" borderId="0" xfId="0" applyFont="1" applyBorder="1" applyAlignment="1">
      <alignment horizontal="center"/>
    </xf>
    <xf numFmtId="37" fontId="9" fillId="0" borderId="0" xfId="0" applyNumberFormat="1" applyFont="1" applyBorder="1"/>
    <xf numFmtId="164" fontId="9" fillId="4" borderId="12" xfId="4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37" fontId="9" fillId="0" borderId="0" xfId="0" applyNumberFormat="1" applyFont="1"/>
    <xf numFmtId="164" fontId="9" fillId="0" borderId="0" xfId="4" applyNumberFormat="1" applyFont="1"/>
    <xf numFmtId="164" fontId="10" fillId="0" borderId="0" xfId="4" applyNumberFormat="1" applyFont="1"/>
    <xf numFmtId="0" fontId="9" fillId="0" borderId="0" xfId="0" applyFont="1"/>
    <xf numFmtId="164" fontId="12" fillId="8" borderId="0" xfId="0" applyNumberFormat="1" applyFont="1" applyFill="1" applyAlignment="1">
      <alignment horizontal="center"/>
    </xf>
    <xf numFmtId="1" fontId="12" fillId="6" borderId="0" xfId="4" applyNumberFormat="1" applyFont="1" applyFill="1" applyAlignment="1">
      <alignment horizontal="center"/>
    </xf>
    <xf numFmtId="164" fontId="12" fillId="6" borderId="0" xfId="4" applyNumberFormat="1" applyFont="1" applyFill="1" applyAlignment="1">
      <alignment horizontal="center"/>
    </xf>
    <xf numFmtId="0" fontId="10" fillId="0" borderId="13" xfId="0" applyFont="1" applyBorder="1"/>
    <xf numFmtId="0" fontId="10" fillId="0" borderId="14" xfId="0" applyFont="1" applyBorder="1"/>
    <xf numFmtId="37" fontId="10" fillId="0" borderId="13" xfId="0" applyNumberFormat="1" applyFont="1" applyBorder="1"/>
    <xf numFmtId="164" fontId="0" fillId="0" borderId="0" xfId="4" applyNumberFormat="1" applyFont="1" applyFill="1" applyBorder="1" applyAlignment="1">
      <alignment horizontal="center"/>
    </xf>
    <xf numFmtId="166" fontId="9" fillId="5" borderId="2" xfId="4" applyNumberFormat="1" applyFont="1" applyFill="1" applyBorder="1"/>
    <xf numFmtId="164" fontId="9" fillId="5" borderId="5" xfId="4" applyNumberFormat="1" applyFont="1" applyFill="1" applyBorder="1" applyAlignment="1">
      <alignment horizontal="center"/>
    </xf>
    <xf numFmtId="164" fontId="0" fillId="0" borderId="5" xfId="4" applyNumberFormat="1" applyFont="1" applyBorder="1" applyAlignment="1">
      <alignment horizontal="center"/>
    </xf>
    <xf numFmtId="164" fontId="40" fillId="0" borderId="0" xfId="4" applyNumberFormat="1" applyFont="1" applyAlignment="1">
      <alignment horizontal="right"/>
    </xf>
    <xf numFmtId="164" fontId="10" fillId="5" borderId="5" xfId="4" applyNumberFormat="1" applyFont="1" applyFill="1" applyBorder="1" applyAlignment="1">
      <alignment horizontal="center"/>
    </xf>
    <xf numFmtId="37" fontId="0" fillId="5" borderId="0" xfId="0" applyNumberFormat="1" applyFont="1" applyFill="1"/>
    <xf numFmtId="2" fontId="23" fillId="0" borderId="0" xfId="4" applyNumberFormat="1" applyFont="1" applyAlignment="1">
      <alignment horizontal="right"/>
    </xf>
    <xf numFmtId="0" fontId="10" fillId="0" borderId="13" xfId="0" applyFont="1" applyBorder="1" applyAlignment="1">
      <alignment horizontal="center"/>
    </xf>
    <xf numFmtId="164" fontId="9" fillId="4" borderId="15" xfId="4" applyNumberFormat="1" applyFont="1" applyFill="1" applyBorder="1" applyAlignment="1">
      <alignment horizontal="center"/>
    </xf>
    <xf numFmtId="166" fontId="9" fillId="5" borderId="0" xfId="4" applyNumberFormat="1" applyFont="1" applyFill="1" applyBorder="1"/>
    <xf numFmtId="164" fontId="10" fillId="0" borderId="13" xfId="4" applyNumberFormat="1" applyFont="1" applyFill="1" applyBorder="1" applyAlignment="1">
      <alignment horizontal="center"/>
    </xf>
    <xf numFmtId="166" fontId="10" fillId="5" borderId="13" xfId="4" applyNumberFormat="1" applyFont="1" applyFill="1" applyBorder="1"/>
    <xf numFmtId="164" fontId="10" fillId="5" borderId="16" xfId="4" applyNumberFormat="1" applyFont="1" applyFill="1" applyBorder="1" applyAlignment="1">
      <alignment horizontal="center"/>
    </xf>
    <xf numFmtId="164" fontId="9" fillId="5" borderId="16" xfId="4" applyNumberFormat="1" applyFont="1" applyFill="1" applyBorder="1" applyAlignment="1">
      <alignment horizontal="center"/>
    </xf>
    <xf numFmtId="164" fontId="10" fillId="0" borderId="16" xfId="4" applyNumberFormat="1" applyFont="1" applyBorder="1" applyAlignment="1">
      <alignment horizontal="center"/>
    </xf>
    <xf numFmtId="164" fontId="40" fillId="0" borderId="13" xfId="4" applyNumberFormat="1" applyFont="1" applyBorder="1" applyAlignment="1">
      <alignment horizontal="right"/>
    </xf>
    <xf numFmtId="0" fontId="0" fillId="0" borderId="13" xfId="0" applyFont="1" applyBorder="1"/>
    <xf numFmtId="164" fontId="10" fillId="0" borderId="14" xfId="4" applyNumberFormat="1" applyFont="1" applyFill="1" applyBorder="1" applyAlignment="1">
      <alignment horizontal="center"/>
    </xf>
    <xf numFmtId="166" fontId="10" fillId="5" borderId="14" xfId="4" applyNumberFormat="1" applyFont="1" applyFill="1" applyBorder="1"/>
    <xf numFmtId="164" fontId="10" fillId="5" borderId="17" xfId="4" applyNumberFormat="1" applyFont="1" applyFill="1" applyBorder="1" applyAlignment="1">
      <alignment horizontal="center"/>
    </xf>
    <xf numFmtId="164" fontId="9" fillId="5" borderId="17" xfId="4" applyNumberFormat="1" applyFont="1" applyFill="1" applyBorder="1" applyAlignment="1">
      <alignment horizontal="center"/>
    </xf>
    <xf numFmtId="164" fontId="10" fillId="0" borderId="17" xfId="4" applyNumberFormat="1" applyFont="1" applyBorder="1" applyAlignment="1">
      <alignment horizontal="center"/>
    </xf>
    <xf numFmtId="164" fontId="40" fillId="0" borderId="14" xfId="4" applyNumberFormat="1" applyFont="1" applyBorder="1" applyAlignment="1">
      <alignment horizontal="right"/>
    </xf>
    <xf numFmtId="0" fontId="0" fillId="0" borderId="14" xfId="0" applyFont="1" applyBorder="1"/>
    <xf numFmtId="0" fontId="41" fillId="0" borderId="0" xfId="0" applyFont="1" applyAlignment="1">
      <alignment horizontal="left"/>
    </xf>
    <xf numFmtId="0" fontId="41" fillId="0" borderId="0" xfId="0" applyFont="1"/>
    <xf numFmtId="0" fontId="12" fillId="0" borderId="0" xfId="0" applyFont="1" applyFill="1"/>
    <xf numFmtId="0" fontId="12" fillId="0" borderId="18" xfId="0" applyFont="1" applyBorder="1"/>
    <xf numFmtId="0" fontId="12" fillId="0" borderId="18" xfId="0" applyFont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2" fillId="6" borderId="0" xfId="0" applyFont="1" applyFill="1" applyAlignment="1">
      <alignment horizontal="center"/>
    </xf>
    <xf numFmtId="0" fontId="12" fillId="9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37" fontId="12" fillId="6" borderId="2" xfId="0" applyNumberFormat="1" applyFont="1" applyFill="1" applyBorder="1"/>
    <xf numFmtId="164" fontId="12" fillId="0" borderId="0" xfId="4" applyNumberFormat="1" applyFont="1" applyAlignment="1">
      <alignment horizontal="center"/>
    </xf>
    <xf numFmtId="37" fontId="12" fillId="9" borderId="2" xfId="0" applyNumberFormat="1" applyFont="1" applyFill="1" applyBorder="1"/>
    <xf numFmtId="37" fontId="12" fillId="9" borderId="0" xfId="0" applyNumberFormat="1" applyFont="1" applyFill="1" applyBorder="1"/>
    <xf numFmtId="0" fontId="5" fillId="0" borderId="13" xfId="0" applyFont="1" applyBorder="1"/>
    <xf numFmtId="37" fontId="5" fillId="0" borderId="13" xfId="0" applyNumberFormat="1" applyFont="1" applyBorder="1"/>
    <xf numFmtId="164" fontId="5" fillId="0" borderId="13" xfId="4" applyNumberFormat="1" applyFont="1" applyBorder="1" applyAlignment="1">
      <alignment horizontal="center"/>
    </xf>
    <xf numFmtId="37" fontId="12" fillId="6" borderId="3" xfId="0" applyNumberFormat="1" applyFont="1" applyFill="1" applyBorder="1"/>
    <xf numFmtId="37" fontId="12" fillId="6" borderId="4" xfId="0" applyNumberFormat="1" applyFont="1" applyFill="1" applyBorder="1"/>
    <xf numFmtId="0" fontId="12" fillId="0" borderId="0" xfId="0" quotePrefix="1" applyFont="1"/>
    <xf numFmtId="37" fontId="12" fillId="0" borderId="4" xfId="0" applyNumberFormat="1" applyFont="1" applyFill="1" applyBorder="1"/>
    <xf numFmtId="0" fontId="5" fillId="0" borderId="14" xfId="0" applyFont="1" applyBorder="1"/>
    <xf numFmtId="37" fontId="5" fillId="0" borderId="14" xfId="0" applyNumberFormat="1" applyFont="1" applyBorder="1"/>
    <xf numFmtId="164" fontId="5" fillId="0" borderId="14" xfId="4" applyNumberFormat="1" applyFont="1" applyBorder="1" applyAlignment="1">
      <alignment horizontal="center"/>
    </xf>
    <xf numFmtId="37" fontId="12" fillId="0" borderId="0" xfId="0" applyNumberFormat="1" applyFont="1"/>
    <xf numFmtId="37" fontId="12" fillId="0" borderId="3" xfId="0" applyNumberFormat="1" applyFont="1" applyFill="1" applyBorder="1"/>
    <xf numFmtId="37" fontId="5" fillId="0" borderId="19" xfId="0" applyNumberFormat="1" applyFont="1" applyBorder="1"/>
    <xf numFmtId="164" fontId="5" fillId="0" borderId="19" xfId="4" applyNumberFormat="1" applyFont="1" applyBorder="1" applyAlignment="1">
      <alignment horizontal="center"/>
    </xf>
    <xf numFmtId="37" fontId="5" fillId="0" borderId="0" xfId="0" applyNumberFormat="1" applyFont="1"/>
    <xf numFmtId="164" fontId="5" fillId="0" borderId="0" xfId="4" applyNumberFormat="1" applyFont="1" applyAlignment="1">
      <alignment horizontal="center"/>
    </xf>
    <xf numFmtId="164" fontId="12" fillId="0" borderId="0" xfId="4" applyNumberFormat="1" applyFont="1"/>
    <xf numFmtId="37" fontId="5" fillId="0" borderId="3" xfId="0" applyNumberFormat="1" applyFont="1" applyFill="1" applyBorder="1"/>
    <xf numFmtId="164" fontId="5" fillId="0" borderId="0" xfId="4" applyNumberFormat="1" applyFont="1"/>
    <xf numFmtId="37" fontId="12" fillId="9" borderId="4" xfId="0" applyNumberFormat="1" applyFont="1" applyFill="1" applyBorder="1"/>
    <xf numFmtId="0" fontId="5" fillId="9" borderId="0" xfId="0" applyFont="1" applyFill="1"/>
    <xf numFmtId="167" fontId="29" fillId="9" borderId="0" xfId="1" applyNumberFormat="1" applyFont="1" applyFill="1"/>
    <xf numFmtId="38" fontId="5" fillId="0" borderId="0" xfId="0" applyNumberFormat="1" applyFont="1"/>
    <xf numFmtId="38" fontId="5" fillId="0" borderId="0" xfId="4" applyNumberFormat="1" applyFont="1" applyAlignment="1">
      <alignment horizontal="center"/>
    </xf>
    <xf numFmtId="38" fontId="5" fillId="0" borderId="0" xfId="4" applyNumberFormat="1" applyFont="1"/>
    <xf numFmtId="38" fontId="12" fillId="0" borderId="0" xfId="0" applyNumberFormat="1" applyFont="1"/>
    <xf numFmtId="38" fontId="12" fillId="0" borderId="0" xfId="0" applyNumberFormat="1" applyFont="1" applyFill="1"/>
    <xf numFmtId="167" fontId="12" fillId="0" borderId="0" xfId="1" applyNumberFormat="1" applyFont="1"/>
    <xf numFmtId="164" fontId="20" fillId="0" borderId="0" xfId="4" applyNumberFormat="1" applyFont="1" applyAlignment="1">
      <alignment horizontal="center"/>
    </xf>
    <xf numFmtId="164" fontId="18" fillId="0" borderId="0" xfId="4" applyNumberFormat="1" applyFont="1" applyAlignment="1">
      <alignment horizontal="center"/>
    </xf>
    <xf numFmtId="164" fontId="30" fillId="0" borderId="13" xfId="4" applyNumberFormat="1" applyFont="1" applyBorder="1" applyAlignment="1">
      <alignment horizontal="center"/>
    </xf>
    <xf numFmtId="164" fontId="18" fillId="0" borderId="13" xfId="4" applyNumberFormat="1" applyFont="1" applyBorder="1" applyAlignment="1">
      <alignment horizontal="center"/>
    </xf>
    <xf numFmtId="164" fontId="30" fillId="0" borderId="14" xfId="4" applyNumberFormat="1" applyFont="1" applyBorder="1" applyAlignment="1">
      <alignment horizontal="center"/>
    </xf>
    <xf numFmtId="164" fontId="30" fillId="0" borderId="19" xfId="4" applyNumberFormat="1" applyFont="1" applyBorder="1" applyAlignment="1">
      <alignment horizontal="center"/>
    </xf>
    <xf numFmtId="167" fontId="0" fillId="0" borderId="0" xfId="1" applyNumberFormat="1" applyFont="1"/>
    <xf numFmtId="167" fontId="12" fillId="0" borderId="0" xfId="1" applyNumberFormat="1" applyFont="1" applyAlignment="1">
      <alignment horizontal="right"/>
    </xf>
    <xf numFmtId="167" fontId="5" fillId="0" borderId="0" xfId="1" applyNumberFormat="1" applyFont="1" applyAlignment="1">
      <alignment horizontal="right"/>
    </xf>
    <xf numFmtId="0" fontId="0" fillId="0" borderId="13" xfId="0" applyBorder="1"/>
    <xf numFmtId="0" fontId="12" fillId="0" borderId="13" xfId="0" applyFont="1" applyBorder="1"/>
    <xf numFmtId="167" fontId="5" fillId="0" borderId="13" xfId="1" applyNumberFormat="1" applyFont="1" applyBorder="1" applyAlignment="1">
      <alignment horizontal="right"/>
    </xf>
    <xf numFmtId="0" fontId="5" fillId="0" borderId="20" xfId="0" applyFont="1" applyBorder="1"/>
    <xf numFmtId="167" fontId="0" fillId="0" borderId="20" xfId="1" applyNumberFormat="1" applyFont="1" applyBorder="1"/>
    <xf numFmtId="167" fontId="12" fillId="0" borderId="20" xfId="1" applyNumberFormat="1" applyFont="1" applyBorder="1"/>
    <xf numFmtId="167" fontId="5" fillId="0" borderId="20" xfId="1" applyNumberFormat="1" applyFont="1" applyBorder="1"/>
    <xf numFmtId="0" fontId="5" fillId="0" borderId="0" xfId="0" applyFont="1" applyBorder="1"/>
    <xf numFmtId="167" fontId="0" fillId="0" borderId="0" xfId="1" applyNumberFormat="1" applyFont="1" applyBorder="1"/>
    <xf numFmtId="167" fontId="12" fillId="0" borderId="0" xfId="1" applyNumberFormat="1" applyFont="1" applyBorder="1"/>
    <xf numFmtId="167" fontId="5" fillId="0" borderId="0" xfId="1" applyNumberFormat="1" applyFont="1" applyBorder="1"/>
    <xf numFmtId="0" fontId="5" fillId="0" borderId="21" xfId="0" applyFont="1" applyBorder="1"/>
    <xf numFmtId="167" fontId="0" fillId="0" borderId="21" xfId="1" applyNumberFormat="1" applyFont="1" applyBorder="1"/>
    <xf numFmtId="167" fontId="12" fillId="0" borderId="21" xfId="1" applyNumberFormat="1" applyFont="1" applyBorder="1"/>
    <xf numFmtId="167" fontId="5" fillId="0" borderId="21" xfId="1" applyNumberFormat="1" applyFont="1" applyBorder="1"/>
    <xf numFmtId="165" fontId="0" fillId="0" borderId="0" xfId="4" applyNumberFormat="1" applyFont="1" applyAlignment="1">
      <alignment horizontal="center"/>
    </xf>
    <xf numFmtId="165" fontId="0" fillId="0" borderId="13" xfId="4" applyNumberFormat="1" applyFont="1" applyBorder="1" applyAlignment="1">
      <alignment horizontal="center"/>
    </xf>
    <xf numFmtId="167" fontId="42" fillId="0" borderId="0" xfId="1" applyNumberFormat="1" applyFont="1"/>
    <xf numFmtId="0" fontId="18" fillId="0" borderId="0" xfId="0" applyFont="1" applyAlignment="1">
      <alignment horizontal="center"/>
    </xf>
    <xf numFmtId="0" fontId="18" fillId="0" borderId="21" xfId="0" applyFont="1" applyBorder="1" applyAlignment="1">
      <alignment horizontal="center"/>
    </xf>
    <xf numFmtId="165" fontId="10" fillId="0" borderId="13" xfId="4" applyNumberFormat="1" applyFont="1" applyBorder="1" applyAlignment="1">
      <alignment horizontal="center"/>
    </xf>
    <xf numFmtId="167" fontId="10" fillId="0" borderId="20" xfId="1" applyNumberFormat="1" applyFont="1" applyBorder="1"/>
    <xf numFmtId="167" fontId="10" fillId="0" borderId="0" xfId="1" applyNumberFormat="1" applyFont="1" applyBorder="1"/>
    <xf numFmtId="167" fontId="10" fillId="0" borderId="21" xfId="1" applyNumberFormat="1" applyFont="1" applyBorder="1"/>
    <xf numFmtId="167" fontId="12" fillId="0" borderId="0" xfId="1" applyNumberFormat="1" applyFont="1" applyFill="1"/>
    <xf numFmtId="0" fontId="0" fillId="0" borderId="0" xfId="0" applyFill="1"/>
    <xf numFmtId="167" fontId="5" fillId="0" borderId="0" xfId="1" applyNumberFormat="1" applyFont="1" applyFill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6" borderId="0" xfId="0" applyFont="1" applyFill="1" applyAlignment="1">
      <alignment horizontal="center"/>
    </xf>
    <xf numFmtId="0" fontId="6" fillId="0" borderId="0" xfId="0" applyFont="1"/>
    <xf numFmtId="0" fontId="12" fillId="0" borderId="0" xfId="0" applyFont="1" applyBorder="1" applyAlignment="1">
      <alignment horizontal="center"/>
    </xf>
    <xf numFmtId="38" fontId="31" fillId="0" borderId="0" xfId="0" applyNumberFormat="1" applyFont="1"/>
    <xf numFmtId="0" fontId="5" fillId="0" borderId="18" xfId="0" applyFont="1" applyBorder="1" applyAlignment="1">
      <alignment horizontal="left"/>
    </xf>
    <xf numFmtId="1" fontId="12" fillId="0" borderId="18" xfId="0" applyNumberFormat="1" applyFont="1" applyBorder="1"/>
    <xf numFmtId="0" fontId="12" fillId="0" borderId="22" xfId="0" applyFont="1" applyBorder="1"/>
    <xf numFmtId="0" fontId="5" fillId="0" borderId="18" xfId="0" applyFont="1" applyBorder="1"/>
    <xf numFmtId="0" fontId="12" fillId="0" borderId="0" xfId="0" applyFont="1" applyBorder="1"/>
    <xf numFmtId="1" fontId="12" fillId="0" borderId="0" xfId="0" applyNumberFormat="1" applyFont="1" applyBorder="1"/>
    <xf numFmtId="167" fontId="32" fillId="0" borderId="0" xfId="1" applyNumberFormat="1" applyFont="1" applyFill="1"/>
    <xf numFmtId="164" fontId="33" fillId="0" borderId="0" xfId="4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6" borderId="0" xfId="0" applyFont="1" applyFill="1" applyAlignment="1">
      <alignment horizontal="center"/>
    </xf>
    <xf numFmtId="167" fontId="0" fillId="0" borderId="0" xfId="2" applyNumberFormat="1" applyFont="1"/>
    <xf numFmtId="37" fontId="12" fillId="0" borderId="27" xfId="0" applyNumberFormat="1" applyFont="1" applyBorder="1"/>
    <xf numFmtId="37" fontId="5" fillId="0" borderId="0" xfId="0" applyNumberFormat="1" applyFont="1" applyBorder="1"/>
    <xf numFmtId="37" fontId="12" fillId="0" borderId="0" xfId="0" applyNumberFormat="1" applyFont="1" applyBorder="1"/>
    <xf numFmtId="168" fontId="5" fillId="0" borderId="20" xfId="1" applyNumberFormat="1" applyFont="1" applyBorder="1"/>
    <xf numFmtId="168" fontId="5" fillId="0" borderId="0" xfId="1" applyNumberFormat="1" applyFont="1" applyBorder="1"/>
    <xf numFmtId="168" fontId="5" fillId="0" borderId="21" xfId="1" applyNumberFormat="1" applyFont="1" applyBorder="1"/>
    <xf numFmtId="168" fontId="12" fillId="0" borderId="0" xfId="1" applyNumberFormat="1" applyFont="1"/>
    <xf numFmtId="37" fontId="12" fillId="10" borderId="28" xfId="0" applyNumberFormat="1" applyFont="1" applyFill="1" applyBorder="1"/>
    <xf numFmtId="37" fontId="12" fillId="10" borderId="29" xfId="0" applyNumberFormat="1" applyFont="1" applyFill="1" applyBorder="1"/>
    <xf numFmtId="37" fontId="12" fillId="10" borderId="27" xfId="0" applyNumberFormat="1" applyFont="1" applyFill="1" applyBorder="1"/>
    <xf numFmtId="37" fontId="12" fillId="10" borderId="30" xfId="0" applyNumberFormat="1" applyFont="1" applyFill="1" applyBorder="1"/>
    <xf numFmtId="37" fontId="12" fillId="6" borderId="1" xfId="0" applyNumberFormat="1" applyFont="1" applyFill="1" applyBorder="1"/>
    <xf numFmtId="167" fontId="5" fillId="6" borderId="0" xfId="1" applyNumberFormat="1" applyFont="1" applyFill="1"/>
    <xf numFmtId="0" fontId="34" fillId="0" borderId="0" xfId="0" applyFont="1"/>
    <xf numFmtId="0" fontId="36" fillId="0" borderId="0" xfId="0" applyFont="1"/>
    <xf numFmtId="164" fontId="36" fillId="0" borderId="0" xfId="4" applyNumberFormat="1" applyFont="1" applyAlignment="1">
      <alignment horizontal="center"/>
    </xf>
    <xf numFmtId="0" fontId="36" fillId="3" borderId="0" xfId="0" applyFont="1" applyFill="1" applyAlignment="1">
      <alignment horizontal="center" wrapText="1"/>
    </xf>
    <xf numFmtId="0" fontId="36" fillId="0" borderId="0" xfId="0" applyFont="1" applyAlignment="1">
      <alignment horizontal="center"/>
    </xf>
    <xf numFmtId="37" fontId="34" fillId="0" borderId="1" xfId="0" applyNumberFormat="1" applyFont="1" applyFill="1" applyBorder="1"/>
    <xf numFmtId="164" fontId="34" fillId="0" borderId="0" xfId="4" applyNumberFormat="1" applyFont="1"/>
    <xf numFmtId="37" fontId="34" fillId="0" borderId="6" xfId="0" applyNumberFormat="1" applyFont="1" applyFill="1" applyBorder="1"/>
    <xf numFmtId="0" fontId="15" fillId="0" borderId="23" xfId="0" applyFont="1" applyBorder="1"/>
    <xf numFmtId="37" fontId="15" fillId="0" borderId="24" xfId="0" applyNumberFormat="1" applyFont="1" applyFill="1" applyBorder="1"/>
    <xf numFmtId="0" fontId="15" fillId="0" borderId="0" xfId="0" applyFont="1"/>
    <xf numFmtId="37" fontId="15" fillId="0" borderId="1" xfId="0" applyNumberFormat="1" applyFont="1" applyFill="1" applyBorder="1"/>
    <xf numFmtId="0" fontId="15" fillId="0" borderId="13" xfId="0" applyFont="1" applyBorder="1"/>
    <xf numFmtId="0" fontId="15" fillId="0" borderId="14" xfId="0" applyFont="1" applyBorder="1"/>
    <xf numFmtId="37" fontId="15" fillId="0" borderId="25" xfId="0" applyNumberFormat="1" applyFont="1" applyFill="1" applyBorder="1"/>
    <xf numFmtId="37" fontId="34" fillId="0" borderId="0" xfId="0" applyNumberFormat="1" applyFont="1" applyFill="1" applyBorder="1"/>
    <xf numFmtId="37" fontId="34" fillId="0" borderId="12" xfId="0" applyNumberFormat="1" applyFont="1" applyFill="1" applyBorder="1"/>
    <xf numFmtId="38" fontId="15" fillId="0" borderId="0" xfId="4" applyNumberFormat="1" applyFont="1" applyBorder="1"/>
    <xf numFmtId="38" fontId="15" fillId="0" borderId="0" xfId="0" applyNumberFormat="1" applyFont="1" applyFill="1"/>
    <xf numFmtId="0" fontId="15" fillId="0" borderId="0" xfId="0" applyFont="1" applyFill="1"/>
    <xf numFmtId="9" fontId="34" fillId="0" borderId="0" xfId="4" applyNumberFormat="1" applyFont="1" applyFill="1" applyAlignment="1">
      <alignment horizontal="center"/>
    </xf>
    <xf numFmtId="9" fontId="15" fillId="0" borderId="13" xfId="4" applyNumberFormat="1" applyFont="1" applyFill="1" applyBorder="1" applyAlignment="1">
      <alignment horizontal="center"/>
    </xf>
    <xf numFmtId="9" fontId="15" fillId="0" borderId="14" xfId="4" applyNumberFormat="1" applyFont="1" applyFill="1" applyBorder="1" applyAlignment="1">
      <alignment horizontal="center"/>
    </xf>
    <xf numFmtId="9" fontId="34" fillId="0" borderId="0" xfId="4" applyNumberFormat="1" applyFont="1" applyFill="1" applyBorder="1" applyAlignment="1">
      <alignment horizontal="center"/>
    </xf>
    <xf numFmtId="9" fontId="34" fillId="0" borderId="0" xfId="4" applyNumberFormat="1" applyFont="1" applyAlignment="1">
      <alignment horizontal="center"/>
    </xf>
    <xf numFmtId="9" fontId="15" fillId="0" borderId="13" xfId="4" applyNumberFormat="1" applyFont="1" applyBorder="1" applyAlignment="1">
      <alignment horizontal="center"/>
    </xf>
    <xf numFmtId="9" fontId="15" fillId="0" borderId="14" xfId="4" applyNumberFormat="1" applyFont="1" applyBorder="1" applyAlignment="1">
      <alignment horizontal="center"/>
    </xf>
    <xf numFmtId="9" fontId="34" fillId="0" borderId="0" xfId="4" applyNumberFormat="1" applyFont="1" applyBorder="1" applyAlignment="1">
      <alignment horizontal="center"/>
    </xf>
    <xf numFmtId="0" fontId="15" fillId="9" borderId="0" xfId="0" applyFont="1" applyFill="1"/>
    <xf numFmtId="38" fontId="15" fillId="9" borderId="0" xfId="0" applyNumberFormat="1" applyFont="1" applyFill="1" applyBorder="1"/>
    <xf numFmtId="38" fontId="15" fillId="9" borderId="0" xfId="4" applyNumberFormat="1" applyFont="1" applyFill="1" applyBorder="1" applyAlignment="1">
      <alignment horizontal="center"/>
    </xf>
    <xf numFmtId="38" fontId="15" fillId="9" borderId="0" xfId="4" applyNumberFormat="1" applyFont="1" applyFill="1" applyBorder="1"/>
    <xf numFmtId="37" fontId="34" fillId="9" borderId="1" xfId="0" applyNumberFormat="1" applyFont="1" applyFill="1" applyBorder="1"/>
    <xf numFmtId="0" fontId="6" fillId="0" borderId="0" xfId="0" applyFont="1" applyAlignment="1">
      <alignment horizontal="center"/>
    </xf>
    <xf numFmtId="0" fontId="12" fillId="6" borderId="0" xfId="0" applyFont="1" applyFill="1" applyAlignment="1">
      <alignment horizontal="center" vertical="center"/>
    </xf>
    <xf numFmtId="0" fontId="33" fillId="5" borderId="0" xfId="0" quotePrefix="1" applyFont="1" applyFill="1" applyAlignment="1">
      <alignment horizontal="center" wrapText="1"/>
    </xf>
    <xf numFmtId="0" fontId="12" fillId="0" borderId="0" xfId="0" quotePrefix="1" applyFont="1" applyAlignment="1">
      <alignment horizontal="center"/>
    </xf>
    <xf numFmtId="0" fontId="33" fillId="4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37" fontId="2" fillId="11" borderId="0" xfId="0" applyNumberFormat="1" applyFont="1" applyFill="1" applyBorder="1"/>
    <xf numFmtId="37" fontId="4" fillId="11" borderId="16" xfId="0" applyNumberFormat="1" applyFont="1" applyFill="1" applyBorder="1"/>
    <xf numFmtId="37" fontId="2" fillId="11" borderId="0" xfId="0" applyNumberFormat="1" applyFont="1" applyFill="1"/>
    <xf numFmtId="37" fontId="4" fillId="11" borderId="0" xfId="0" applyNumberFormat="1" applyFont="1" applyFill="1"/>
    <xf numFmtId="0" fontId="2" fillId="11" borderId="0" xfId="0" applyFont="1" applyFill="1"/>
    <xf numFmtId="37" fontId="9" fillId="11" borderId="0" xfId="0" applyNumberFormat="1" applyFont="1" applyFill="1" applyBorder="1"/>
    <xf numFmtId="37" fontId="10" fillId="11" borderId="16" xfId="0" applyNumberFormat="1" applyFont="1" applyFill="1" applyBorder="1"/>
    <xf numFmtId="37" fontId="9" fillId="11" borderId="0" xfId="0" applyNumberFormat="1" applyFont="1" applyFill="1"/>
    <xf numFmtId="37" fontId="10" fillId="11" borderId="0" xfId="0" applyNumberFormat="1" applyFont="1" applyFill="1"/>
    <xf numFmtId="0" fontId="9" fillId="11" borderId="0" xfId="0" applyFont="1" applyFill="1"/>
    <xf numFmtId="0" fontId="38" fillId="9" borderId="0" xfId="0" applyFont="1" applyFill="1" applyAlignment="1">
      <alignment horizontal="center" wrapText="1"/>
    </xf>
    <xf numFmtId="167" fontId="12" fillId="6" borderId="26" xfId="2" applyNumberFormat="1" applyFont="1" applyFill="1" applyBorder="1"/>
    <xf numFmtId="167" fontId="12" fillId="6" borderId="26" xfId="1" applyNumberFormat="1" applyFont="1" applyFill="1" applyBorder="1"/>
    <xf numFmtId="167" fontId="32" fillId="6" borderId="26" xfId="2" applyNumberFormat="1" applyFont="1" applyFill="1" applyBorder="1"/>
    <xf numFmtId="167" fontId="32" fillId="6" borderId="26" xfId="1" applyNumberFormat="1" applyFont="1" applyFill="1" applyBorder="1"/>
    <xf numFmtId="167" fontId="12" fillId="0" borderId="26" xfId="1" applyNumberFormat="1" applyFont="1" applyFill="1" applyBorder="1"/>
    <xf numFmtId="0" fontId="15" fillId="0" borderId="0" xfId="0" applyFont="1" applyAlignment="1">
      <alignment horizontal="left"/>
    </xf>
    <xf numFmtId="168" fontId="12" fillId="0" borderId="0" xfId="0" applyNumberFormat="1" applyFont="1"/>
    <xf numFmtId="168" fontId="12" fillId="0" borderId="0" xfId="0" applyNumberFormat="1" applyFont="1" applyAlignment="1">
      <alignment horizontal="center"/>
    </xf>
    <xf numFmtId="168" fontId="12" fillId="0" borderId="18" xfId="0" applyNumberFormat="1" applyFont="1" applyBorder="1"/>
    <xf numFmtId="168" fontId="12" fillId="0" borderId="18" xfId="0" applyNumberFormat="1" applyFont="1" applyBorder="1" applyAlignment="1">
      <alignment horizontal="center"/>
    </xf>
    <xf numFmtId="168" fontId="12" fillId="0" borderId="22" xfId="0" applyNumberFormat="1" applyFont="1" applyBorder="1"/>
    <xf numFmtId="168" fontId="12" fillId="0" borderId="22" xfId="0" applyNumberFormat="1" applyFont="1" applyBorder="1" applyAlignment="1">
      <alignment horizontal="center"/>
    </xf>
    <xf numFmtId="168" fontId="11" fillId="0" borderId="0" xfId="0" applyNumberFormat="1" applyFont="1"/>
    <xf numFmtId="9" fontId="12" fillId="0" borderId="18" xfId="4" applyFont="1" applyBorder="1"/>
    <xf numFmtId="169" fontId="43" fillId="0" borderId="0" xfId="3" applyNumberFormat="1" applyFont="1" applyFill="1"/>
    <xf numFmtId="37" fontId="5" fillId="12" borderId="0" xfId="0" applyNumberFormat="1" applyFont="1" applyFill="1"/>
    <xf numFmtId="37" fontId="12" fillId="0" borderId="4" xfId="0" applyNumberFormat="1" applyFont="1" applyBorder="1"/>
    <xf numFmtId="168" fontId="44" fillId="6" borderId="0" xfId="1" applyNumberFormat="1" applyFont="1" applyFill="1"/>
    <xf numFmtId="37" fontId="13" fillId="9" borderId="4" xfId="0" applyNumberFormat="1" applyFont="1" applyFill="1" applyBorder="1"/>
    <xf numFmtId="38" fontId="44" fillId="6" borderId="0" xfId="1" applyNumberFormat="1" applyFont="1" applyFill="1"/>
    <xf numFmtId="0" fontId="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12" fillId="0" borderId="0" xfId="0" quotePrefix="1" applyFont="1" applyAlignment="1">
      <alignment wrapText="1"/>
    </xf>
    <xf numFmtId="0" fontId="12" fillId="0" borderId="0" xfId="0" applyFont="1" applyAlignment="1">
      <alignment wrapText="1"/>
    </xf>
    <xf numFmtId="0" fontId="46" fillId="0" borderId="0" xfId="0" applyFont="1"/>
    <xf numFmtId="0" fontId="47" fillId="0" borderId="0" xfId="0" applyFont="1"/>
    <xf numFmtId="0" fontId="12" fillId="0" borderId="0" xfId="0" quotePrefix="1" applyFont="1" applyAlignment="1">
      <alignment horizontal="center" wrapText="1"/>
    </xf>
    <xf numFmtId="0" fontId="5" fillId="0" borderId="0" xfId="0" applyFont="1" applyAlignment="1">
      <alignment wrapText="1"/>
    </xf>
    <xf numFmtId="0" fontId="48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 vertical="center"/>
    </xf>
    <xf numFmtId="0" fontId="48" fillId="0" borderId="0" xfId="0" applyFont="1"/>
    <xf numFmtId="0" fontId="49" fillId="0" borderId="0" xfId="0" applyFont="1"/>
    <xf numFmtId="0" fontId="49" fillId="9" borderId="31" xfId="0" applyFont="1" applyFill="1" applyBorder="1"/>
    <xf numFmtId="0" fontId="50" fillId="0" borderId="0" xfId="0" applyFont="1"/>
    <xf numFmtId="0" fontId="49" fillId="13" borderId="31" xfId="0" applyFont="1" applyFill="1" applyBorder="1"/>
    <xf numFmtId="167" fontId="49" fillId="6" borderId="26" xfId="2" applyNumberFormat="1" applyFont="1" applyFill="1" applyBorder="1"/>
    <xf numFmtId="0" fontId="52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164" fontId="11" fillId="0" borderId="0" xfId="4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7" fontId="5" fillId="6" borderId="2" xfId="0" applyNumberFormat="1" applyFont="1" applyFill="1" applyBorder="1"/>
    <xf numFmtId="37" fontId="5" fillId="0" borderId="6" xfId="0" applyNumberFormat="1" applyFont="1" applyFill="1" applyBorder="1"/>
    <xf numFmtId="164" fontId="5" fillId="0" borderId="0" xfId="4" applyNumberFormat="1" applyFont="1" applyFill="1" applyAlignment="1">
      <alignment horizontal="center"/>
    </xf>
    <xf numFmtId="37" fontId="5" fillId="0" borderId="0" xfId="0" applyNumberFormat="1" applyFont="1" applyFill="1" applyBorder="1"/>
    <xf numFmtId="37" fontId="12" fillId="0" borderId="0" xfId="0" applyNumberFormat="1" applyFont="1" applyFill="1" applyBorder="1"/>
    <xf numFmtId="37" fontId="12" fillId="6" borderId="0" xfId="0" applyNumberFormat="1" applyFont="1" applyFill="1"/>
    <xf numFmtId="37" fontId="12" fillId="6" borderId="0" xfId="0" applyNumberFormat="1" applyFont="1" applyFill="1" applyBorder="1"/>
    <xf numFmtId="0" fontId="5" fillId="0" borderId="7" xfId="0" applyFont="1" applyBorder="1"/>
    <xf numFmtId="37" fontId="5" fillId="0" borderId="7" xfId="0" applyNumberFormat="1" applyFont="1" applyBorder="1"/>
    <xf numFmtId="164" fontId="12" fillId="0" borderId="7" xfId="4" applyNumberFormat="1" applyFont="1" applyBorder="1" applyAlignment="1">
      <alignment horizontal="center"/>
    </xf>
    <xf numFmtId="164" fontId="5" fillId="0" borderId="7" xfId="4" applyNumberFormat="1" applyFont="1" applyBorder="1" applyAlignment="1">
      <alignment horizontal="center"/>
    </xf>
    <xf numFmtId="37" fontId="5" fillId="0" borderId="7" xfId="0" applyNumberFormat="1" applyFont="1" applyFill="1" applyBorder="1"/>
    <xf numFmtId="1" fontId="12" fillId="0" borderId="0" xfId="1" applyNumberFormat="1" applyFont="1" applyAlignment="1">
      <alignment horizontal="center"/>
    </xf>
    <xf numFmtId="164" fontId="12" fillId="0" borderId="2" xfId="4" applyNumberFormat="1" applyFont="1" applyFill="1" applyBorder="1"/>
    <xf numFmtId="37" fontId="5" fillId="0" borderId="0" xfId="4" applyNumberFormat="1" applyFont="1" applyAlignment="1">
      <alignment horizontal="right"/>
    </xf>
    <xf numFmtId="164" fontId="12" fillId="0" borderId="0" xfId="4" applyNumberFormat="1" applyFont="1" applyFill="1" applyAlignment="1">
      <alignment horizontal="center"/>
    </xf>
    <xf numFmtId="164" fontId="11" fillId="0" borderId="0" xfId="4" applyNumberFormat="1" applyFont="1" applyFill="1" applyAlignment="1">
      <alignment horizontal="center"/>
    </xf>
    <xf numFmtId="0" fontId="52" fillId="0" borderId="0" xfId="4" applyNumberFormat="1" applyFont="1" applyFill="1" applyAlignment="1">
      <alignment horizontal="center"/>
    </xf>
    <xf numFmtId="37" fontId="5" fillId="0" borderId="4" xfId="0" applyNumberFormat="1" applyFont="1" applyFill="1" applyBorder="1"/>
    <xf numFmtId="37" fontId="29" fillId="0" borderId="4" xfId="0" applyNumberFormat="1" applyFont="1" applyFill="1" applyBorder="1" applyAlignment="1">
      <alignment vertical="center"/>
    </xf>
    <xf numFmtId="37" fontId="29" fillId="9" borderId="4" xfId="0" applyNumberFormat="1" applyFont="1" applyFill="1" applyBorder="1"/>
    <xf numFmtId="37" fontId="29" fillId="0" borderId="4" xfId="0" applyNumberFormat="1" applyFont="1" applyFill="1" applyBorder="1"/>
    <xf numFmtId="164" fontId="53" fillId="0" borderId="0" xfId="4" applyNumberFormat="1" applyFont="1" applyAlignment="1">
      <alignment horizontal="center"/>
    </xf>
    <xf numFmtId="37" fontId="29" fillId="0" borderId="0" xfId="0" applyNumberFormat="1" applyFont="1" applyFill="1" applyBorder="1"/>
    <xf numFmtId="164" fontId="29" fillId="0" borderId="0" xfId="4" applyNumberFormat="1" applyFont="1" applyAlignment="1">
      <alignment horizontal="center"/>
    </xf>
    <xf numFmtId="38" fontId="54" fillId="0" borderId="4" xfId="3" applyNumberFormat="1" applyFont="1" applyFill="1" applyBorder="1"/>
    <xf numFmtId="38" fontId="12" fillId="0" borderId="4" xfId="3" applyNumberFormat="1" applyFont="1" applyFill="1" applyBorder="1"/>
    <xf numFmtId="164" fontId="5" fillId="0" borderId="0" xfId="4" applyNumberFormat="1" applyFont="1" applyFill="1"/>
    <xf numFmtId="37" fontId="48" fillId="6" borderId="3" xfId="0" applyNumberFormat="1" applyFont="1" applyFill="1" applyBorder="1"/>
    <xf numFmtId="0" fontId="15" fillId="6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37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/>
    </xf>
  </cellXfs>
  <cellStyles count="6">
    <cellStyle name="Comma" xfId="1" builtinId="3"/>
    <cellStyle name="Comma 2" xfId="2" xr:uid="{00000000-0005-0000-0000-000001000000}"/>
    <cellStyle name="Currency" xfId="3" builtinId="4"/>
    <cellStyle name="Normal" xfId="0" builtinId="0"/>
    <cellStyle name="Percent" xfId="4" builtinId="5"/>
    <cellStyle name="Percent 2" xfId="5" xr:uid="{00000000-0005-0000-0000-000005000000}"/>
  </cellStyles>
  <dxfs count="1">
    <dxf>
      <font>
        <color rgb="FF9C0006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A3400"/>
      <rgbColor rgb="00339966"/>
      <rgbColor rgb="00F7E9E7"/>
      <rgbColor rgb="00EECFCD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C59"/>
  <sheetViews>
    <sheetView workbookViewId="0">
      <selection activeCell="C5" sqref="C5:C7"/>
    </sheetView>
  </sheetViews>
  <sheetFormatPr baseColWidth="10" defaultColWidth="10.83203125" defaultRowHeight="16" x14ac:dyDescent="0.2"/>
  <cols>
    <col min="1" max="1" width="6.83203125" style="34" customWidth="1"/>
    <col min="2" max="2" width="129.6640625" style="34" customWidth="1"/>
    <col min="3" max="3" width="13.83203125" style="34" customWidth="1"/>
    <col min="4" max="16384" width="10.83203125" style="34"/>
  </cols>
  <sheetData>
    <row r="2" spans="2:3" ht="17" customHeight="1" x14ac:dyDescent="0.2">
      <c r="B2" s="301" t="str">
        <f>Setup!B2</f>
        <v xml:space="preserve">Five Year Operating and Membership Plan </v>
      </c>
    </row>
    <row r="3" spans="2:3" ht="17" customHeight="1" x14ac:dyDescent="0.2">
      <c r="B3" s="292" t="s">
        <v>8</v>
      </c>
    </row>
    <row r="4" spans="2:3" ht="5" customHeight="1" x14ac:dyDescent="0.2"/>
    <row r="5" spans="2:3" x14ac:dyDescent="0.2">
      <c r="B5" s="293" t="s">
        <v>41</v>
      </c>
      <c r="C5" s="303"/>
    </row>
    <row r="6" spans="2:3" ht="5" customHeight="1" x14ac:dyDescent="0.2">
      <c r="B6" s="294"/>
      <c r="C6" s="304"/>
    </row>
    <row r="7" spans="2:3" ht="17" customHeight="1" x14ac:dyDescent="0.2">
      <c r="B7" s="295" t="s">
        <v>78</v>
      </c>
      <c r="C7" s="305"/>
    </row>
    <row r="8" spans="2:3" ht="17" customHeight="1" x14ac:dyDescent="0.2">
      <c r="B8" s="295" t="s">
        <v>79</v>
      </c>
    </row>
    <row r="9" spans="2:3" ht="17" customHeight="1" x14ac:dyDescent="0.2">
      <c r="B9" s="296" t="s">
        <v>72</v>
      </c>
    </row>
    <row r="10" spans="2:3" ht="5" customHeight="1" x14ac:dyDescent="0.2"/>
    <row r="11" spans="2:3" ht="17" customHeight="1" x14ac:dyDescent="0.2">
      <c r="B11" s="293" t="s">
        <v>130</v>
      </c>
    </row>
    <row r="12" spans="2:3" ht="5" customHeight="1" x14ac:dyDescent="0.2">
      <c r="B12" s="294"/>
    </row>
    <row r="13" spans="2:3" ht="17" customHeight="1" x14ac:dyDescent="0.2">
      <c r="B13" s="295" t="s">
        <v>175</v>
      </c>
    </row>
    <row r="14" spans="2:3" ht="17" customHeight="1" x14ac:dyDescent="0.2">
      <c r="B14" s="295" t="s">
        <v>176</v>
      </c>
    </row>
    <row r="15" spans="2:3" ht="17" customHeight="1" x14ac:dyDescent="0.2">
      <c r="B15" s="295" t="s">
        <v>177</v>
      </c>
    </row>
    <row r="16" spans="2:3" ht="5" customHeight="1" x14ac:dyDescent="0.2">
      <c r="B16" s="296"/>
    </row>
    <row r="17" spans="2:3" ht="17" customHeight="1" x14ac:dyDescent="0.2">
      <c r="B17" s="297" t="s">
        <v>42</v>
      </c>
    </row>
    <row r="18" spans="2:3" ht="5" customHeight="1" x14ac:dyDescent="0.2"/>
    <row r="19" spans="2:3" ht="39" customHeight="1" x14ac:dyDescent="0.2">
      <c r="B19" s="299" t="s">
        <v>193</v>
      </c>
      <c r="C19" s="296"/>
    </row>
    <row r="20" spans="2:3" ht="31" customHeight="1" x14ac:dyDescent="0.2">
      <c r="B20" s="299" t="s">
        <v>80</v>
      </c>
      <c r="C20" s="296"/>
    </row>
    <row r="21" spans="2:3" ht="33" customHeight="1" x14ac:dyDescent="0.2">
      <c r="B21" s="296" t="s">
        <v>73</v>
      </c>
      <c r="C21" s="296"/>
    </row>
    <row r="22" spans="2:3" ht="35" customHeight="1" x14ac:dyDescent="0.2">
      <c r="B22" s="295" t="s">
        <v>81</v>
      </c>
      <c r="C22" s="296"/>
    </row>
    <row r="23" spans="2:3" ht="17" customHeight="1" x14ac:dyDescent="0.2">
      <c r="B23" s="300" t="s">
        <v>74</v>
      </c>
      <c r="C23" s="296"/>
    </row>
    <row r="24" spans="2:3" ht="17" customHeight="1" x14ac:dyDescent="0.2">
      <c r="B24" s="295" t="s">
        <v>82</v>
      </c>
      <c r="C24" s="296"/>
    </row>
    <row r="25" spans="2:3" ht="17" customHeight="1" x14ac:dyDescent="0.2">
      <c r="B25" s="296" t="s">
        <v>75</v>
      </c>
      <c r="C25" s="296"/>
    </row>
    <row r="26" spans="2:3" ht="5" customHeight="1" x14ac:dyDescent="0.2">
      <c r="B26" s="296"/>
      <c r="C26" s="296"/>
    </row>
    <row r="27" spans="2:3" ht="17" customHeight="1" x14ac:dyDescent="0.2">
      <c r="B27" s="297" t="s">
        <v>43</v>
      </c>
      <c r="C27" s="296"/>
    </row>
    <row r="28" spans="2:3" ht="5" customHeight="1" x14ac:dyDescent="0.2">
      <c r="B28" s="296"/>
      <c r="C28" s="296"/>
    </row>
    <row r="29" spans="2:3" ht="17" customHeight="1" x14ac:dyDescent="0.2">
      <c r="B29" s="295" t="s">
        <v>83</v>
      </c>
      <c r="C29" s="296"/>
    </row>
    <row r="30" spans="2:3" ht="17" customHeight="1" x14ac:dyDescent="0.2">
      <c r="B30" s="295" t="s">
        <v>84</v>
      </c>
      <c r="C30" s="296"/>
    </row>
    <row r="31" spans="2:3" ht="5" customHeight="1" x14ac:dyDescent="0.2">
      <c r="B31" s="296"/>
      <c r="C31" s="296"/>
    </row>
    <row r="32" spans="2:3" ht="17" customHeight="1" x14ac:dyDescent="0.2">
      <c r="B32" s="297" t="s">
        <v>44</v>
      </c>
      <c r="C32" s="296"/>
    </row>
    <row r="33" spans="2:3" ht="5" customHeight="1" x14ac:dyDescent="0.2">
      <c r="B33" s="296"/>
      <c r="C33" s="296"/>
    </row>
    <row r="34" spans="2:3" ht="17" customHeight="1" x14ac:dyDescent="0.2">
      <c r="B34" s="295" t="s">
        <v>85</v>
      </c>
      <c r="C34" s="296"/>
    </row>
    <row r="35" spans="2:3" ht="17" customHeight="1" x14ac:dyDescent="0.2">
      <c r="B35" s="295" t="s">
        <v>86</v>
      </c>
    </row>
    <row r="36" spans="2:3" ht="5" customHeight="1" x14ac:dyDescent="0.2"/>
    <row r="37" spans="2:3" ht="17" customHeight="1" x14ac:dyDescent="0.2">
      <c r="B37" s="297" t="s">
        <v>45</v>
      </c>
    </row>
    <row r="38" spans="2:3" ht="5" customHeight="1" x14ac:dyDescent="0.2">
      <c r="B38" s="296"/>
      <c r="C38" s="296"/>
    </row>
    <row r="39" spans="2:3" ht="32" customHeight="1" x14ac:dyDescent="0.2">
      <c r="B39" s="295" t="s">
        <v>87</v>
      </c>
      <c r="C39" s="296"/>
    </row>
    <row r="40" spans="2:3" ht="40" customHeight="1" x14ac:dyDescent="0.2">
      <c r="B40" s="295" t="s">
        <v>88</v>
      </c>
      <c r="C40" s="296"/>
    </row>
    <row r="41" spans="2:3" ht="17" customHeight="1" x14ac:dyDescent="0.2">
      <c r="B41" s="295" t="s">
        <v>89</v>
      </c>
      <c r="C41" s="296"/>
    </row>
    <row r="42" spans="2:3" ht="31" customHeight="1" x14ac:dyDescent="0.2">
      <c r="B42" s="295" t="s">
        <v>195</v>
      </c>
      <c r="C42" s="296"/>
    </row>
    <row r="43" spans="2:3" ht="30" customHeight="1" x14ac:dyDescent="0.2">
      <c r="B43" s="296" t="s">
        <v>196</v>
      </c>
      <c r="C43" s="296"/>
    </row>
    <row r="44" spans="2:3" ht="17" customHeight="1" x14ac:dyDescent="0.2">
      <c r="B44" s="130" t="s">
        <v>188</v>
      </c>
      <c r="C44" s="296"/>
    </row>
    <row r="45" spans="2:3" ht="17" customHeight="1" x14ac:dyDescent="0.2">
      <c r="B45" s="295" t="s">
        <v>90</v>
      </c>
      <c r="C45" s="296"/>
    </row>
    <row r="46" spans="2:3" ht="17" customHeight="1" x14ac:dyDescent="0.2">
      <c r="B46" s="296" t="s">
        <v>76</v>
      </c>
      <c r="C46" s="296"/>
    </row>
    <row r="47" spans="2:3" ht="17" customHeight="1" x14ac:dyDescent="0.2">
      <c r="B47" s="295" t="s">
        <v>91</v>
      </c>
      <c r="C47" s="296"/>
    </row>
    <row r="48" spans="2:3" ht="17" customHeight="1" x14ac:dyDescent="0.2">
      <c r="B48" s="34" t="s">
        <v>77</v>
      </c>
      <c r="C48" s="296"/>
    </row>
    <row r="49" spans="2:3" ht="5" customHeight="1" x14ac:dyDescent="0.2">
      <c r="C49" s="296"/>
    </row>
    <row r="50" spans="2:3" ht="17" customHeight="1" x14ac:dyDescent="0.2">
      <c r="B50" s="297" t="s">
        <v>46</v>
      </c>
      <c r="C50" s="296"/>
    </row>
    <row r="51" spans="2:3" ht="5" customHeight="1" x14ac:dyDescent="0.2">
      <c r="B51" s="298"/>
      <c r="C51" s="296"/>
    </row>
    <row r="52" spans="2:3" ht="17" customHeight="1" x14ac:dyDescent="0.2">
      <c r="B52" s="295" t="s">
        <v>92</v>
      </c>
      <c r="C52" s="296"/>
    </row>
    <row r="53" spans="2:3" ht="17" customHeight="1" x14ac:dyDescent="0.2">
      <c r="B53" s="295" t="s">
        <v>93</v>
      </c>
      <c r="C53" s="296"/>
    </row>
    <row r="54" spans="2:3" ht="17" customHeight="1" x14ac:dyDescent="0.2">
      <c r="B54" s="295" t="s">
        <v>94</v>
      </c>
      <c r="C54" s="296"/>
    </row>
    <row r="55" spans="2:3" ht="17" customHeight="1" x14ac:dyDescent="0.2">
      <c r="B55" s="296"/>
      <c r="C55" s="296"/>
    </row>
    <row r="56" spans="2:3" x14ac:dyDescent="0.2">
      <c r="B56" s="296"/>
      <c r="C56" s="296"/>
    </row>
    <row r="57" spans="2:3" x14ac:dyDescent="0.2">
      <c r="C57" s="296"/>
    </row>
    <row r="58" spans="2:3" x14ac:dyDescent="0.2">
      <c r="B58" s="296"/>
      <c r="C58" s="296"/>
    </row>
    <row r="59" spans="2:3" x14ac:dyDescent="0.2">
      <c r="C59" s="296"/>
    </row>
  </sheetData>
  <phoneticPr fontId="2" type="noConversion"/>
  <pageMargins left="0.75" right="0.75" top="1" bottom="1" header="0.5" footer="0.5"/>
  <pageSetup scale="74" orientation="portrait" horizontalDpi="4294967292" verticalDpi="429496729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7:M15"/>
  <sheetViews>
    <sheetView workbookViewId="0">
      <selection activeCell="F11" sqref="F10:F15"/>
    </sheetView>
  </sheetViews>
  <sheetFormatPr baseColWidth="10" defaultRowHeight="13" x14ac:dyDescent="0.15"/>
  <cols>
    <col min="2" max="2" width="39.5" bestFit="1" customWidth="1"/>
  </cols>
  <sheetData>
    <row r="7" spans="1:13" ht="16" x14ac:dyDescent="0.2">
      <c r="C7" s="45">
        <v>2011</v>
      </c>
      <c r="D7" s="45"/>
      <c r="E7" s="45">
        <v>2012</v>
      </c>
      <c r="F7" s="45"/>
      <c r="G7" s="45">
        <v>2013</v>
      </c>
      <c r="H7" s="45"/>
      <c r="I7" s="45">
        <v>2014</v>
      </c>
      <c r="J7" s="45"/>
      <c r="K7" s="45">
        <v>2015</v>
      </c>
      <c r="L7" s="45"/>
      <c r="M7" s="45">
        <v>2016</v>
      </c>
    </row>
    <row r="8" spans="1:13" ht="16" x14ac:dyDescent="0.2">
      <c r="C8" s="205" t="s">
        <v>97</v>
      </c>
      <c r="D8" s="153" t="s">
        <v>32</v>
      </c>
      <c r="E8" s="205" t="s">
        <v>97</v>
      </c>
      <c r="F8" s="153" t="s">
        <v>32</v>
      </c>
      <c r="G8" s="205" t="s">
        <v>97</v>
      </c>
      <c r="H8" s="153" t="s">
        <v>32</v>
      </c>
      <c r="I8" s="205" t="s">
        <v>97</v>
      </c>
      <c r="J8" s="153" t="s">
        <v>32</v>
      </c>
      <c r="K8" s="205" t="s">
        <v>97</v>
      </c>
      <c r="L8" s="153" t="s">
        <v>32</v>
      </c>
      <c r="M8" s="205" t="s">
        <v>98</v>
      </c>
    </row>
    <row r="9" spans="1:13" ht="16" x14ac:dyDescent="0.2">
      <c r="A9" s="35" t="s">
        <v>138</v>
      </c>
      <c r="B9" s="34"/>
    </row>
    <row r="10" spans="1:13" ht="16" x14ac:dyDescent="0.2">
      <c r="A10" s="34"/>
      <c r="B10" s="34" t="s">
        <v>142</v>
      </c>
      <c r="F10" s="182" t="e">
        <f t="shared" ref="F10:F15" si="0">(E10/C10-1)</f>
        <v>#DIV/0!</v>
      </c>
    </row>
    <row r="11" spans="1:13" ht="16" x14ac:dyDescent="0.2">
      <c r="A11" s="34"/>
      <c r="B11" s="34" t="s">
        <v>141</v>
      </c>
      <c r="F11" s="182" t="e">
        <f t="shared" si="0"/>
        <v>#DIV/0!</v>
      </c>
    </row>
    <row r="12" spans="1:13" ht="16" x14ac:dyDescent="0.2">
      <c r="A12" s="34"/>
      <c r="B12" s="34" t="s">
        <v>110</v>
      </c>
      <c r="F12" s="182" t="e">
        <f t="shared" si="0"/>
        <v>#DIV/0!</v>
      </c>
    </row>
    <row r="13" spans="1:13" ht="16" x14ac:dyDescent="0.2">
      <c r="A13" s="34"/>
      <c r="B13" s="125" t="s">
        <v>139</v>
      </c>
      <c r="F13" s="182" t="e">
        <f t="shared" si="0"/>
        <v>#DIV/0!</v>
      </c>
    </row>
    <row r="14" spans="1:13" ht="16" x14ac:dyDescent="0.2">
      <c r="A14" s="34"/>
      <c r="B14" s="34" t="s">
        <v>111</v>
      </c>
      <c r="F14" s="178" t="e">
        <f t="shared" si="0"/>
        <v>#DIV/0!</v>
      </c>
    </row>
    <row r="15" spans="1:13" ht="16" x14ac:dyDescent="0.2">
      <c r="A15" s="34"/>
      <c r="B15" s="125" t="s">
        <v>140</v>
      </c>
      <c r="F15" s="182" t="e">
        <f t="shared" si="0"/>
        <v>#DIV/0!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8106C-37BA-7547-9B8F-D6EB9DA60DC8}">
  <dimension ref="B3:D13"/>
  <sheetViews>
    <sheetView zoomScale="101" workbookViewId="0">
      <selection activeCell="B3" sqref="B3"/>
    </sheetView>
  </sheetViews>
  <sheetFormatPr baseColWidth="10" defaultRowHeight="20" x14ac:dyDescent="0.2"/>
  <cols>
    <col min="1" max="2" width="10.83203125" style="307"/>
    <col min="3" max="3" width="3.1640625" style="307" customWidth="1"/>
    <col min="4" max="16384" width="10.83203125" style="307"/>
  </cols>
  <sheetData>
    <row r="3" spans="2:4" x14ac:dyDescent="0.2">
      <c r="B3" s="306" t="s">
        <v>198</v>
      </c>
    </row>
    <row r="4" spans="2:4" ht="21" thickBot="1" x14ac:dyDescent="0.25"/>
    <row r="5" spans="2:4" ht="21" thickBot="1" x14ac:dyDescent="0.25">
      <c r="B5" s="308"/>
      <c r="C5" s="309"/>
      <c r="D5" s="309" t="s">
        <v>199</v>
      </c>
    </row>
    <row r="6" spans="2:4" ht="21" thickBot="1" x14ac:dyDescent="0.25"/>
    <row r="7" spans="2:4" ht="21" thickBot="1" x14ac:dyDescent="0.25">
      <c r="B7" s="310"/>
      <c r="D7" s="309" t="s">
        <v>200</v>
      </c>
    </row>
    <row r="11" spans="2:4" x14ac:dyDescent="0.2">
      <c r="B11" s="306" t="s">
        <v>201</v>
      </c>
    </row>
    <row r="13" spans="2:4" x14ac:dyDescent="0.2">
      <c r="B13" s="311" t="s">
        <v>203</v>
      </c>
      <c r="C13" s="309"/>
      <c r="D13" s="309" t="s">
        <v>202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32"/>
  <sheetViews>
    <sheetView tabSelected="1" view="pageLayout" zoomScale="110" zoomScaleNormal="100" zoomScalePageLayoutView="110" workbookViewId="0">
      <selection activeCell="B4" sqref="B4"/>
    </sheetView>
  </sheetViews>
  <sheetFormatPr baseColWidth="10" defaultColWidth="8.83203125" defaultRowHeight="13" x14ac:dyDescent="0.15"/>
  <cols>
    <col min="1" max="1" width="48.83203125" customWidth="1"/>
    <col min="2" max="2" width="31.83203125" customWidth="1"/>
    <col min="3" max="3" width="16.33203125" customWidth="1"/>
    <col min="4" max="4" width="31.6640625" customWidth="1"/>
  </cols>
  <sheetData>
    <row r="2" spans="1:4" ht="17" customHeight="1" x14ac:dyDescent="0.2">
      <c r="A2" s="112" t="s">
        <v>41</v>
      </c>
      <c r="B2" s="276" t="s">
        <v>189</v>
      </c>
    </row>
    <row r="3" spans="1:4" ht="18" x14ac:dyDescent="0.2">
      <c r="A3" s="348" t="s">
        <v>3</v>
      </c>
      <c r="B3" s="348"/>
      <c r="C3" s="348"/>
      <c r="D3" s="348"/>
    </row>
    <row r="4" spans="1:4" ht="21" customHeight="1" x14ac:dyDescent="0.2">
      <c r="A4" s="34" t="s">
        <v>180</v>
      </c>
      <c r="B4" s="254">
        <v>2020</v>
      </c>
    </row>
    <row r="6" spans="1:4" ht="18" x14ac:dyDescent="0.2">
      <c r="A6" s="34" t="s">
        <v>0</v>
      </c>
      <c r="B6" s="347" t="s">
        <v>197</v>
      </c>
      <c r="C6" s="347"/>
    </row>
    <row r="7" spans="1:4" x14ac:dyDescent="0.15">
      <c r="B7" s="17"/>
    </row>
    <row r="8" spans="1:4" ht="16" x14ac:dyDescent="0.2">
      <c r="A8" s="34" t="s">
        <v>179</v>
      </c>
      <c r="B8" s="52" t="s">
        <v>99</v>
      </c>
    </row>
    <row r="9" spans="1:4" x14ac:dyDescent="0.15">
      <c r="B9" s="17"/>
    </row>
    <row r="10" spans="1:4" ht="16" x14ac:dyDescent="0.2">
      <c r="A10" s="34" t="s">
        <v>62</v>
      </c>
      <c r="B10" s="81">
        <v>4.4999999999999998E-2</v>
      </c>
      <c r="D10" s="42"/>
    </row>
    <row r="11" spans="1:4" x14ac:dyDescent="0.15">
      <c r="B11" s="17"/>
    </row>
    <row r="12" spans="1:4" ht="16" x14ac:dyDescent="0.2">
      <c r="A12" s="34" t="s">
        <v>12</v>
      </c>
      <c r="B12" s="82">
        <v>3</v>
      </c>
    </row>
    <row r="14" spans="1:4" ht="16" x14ac:dyDescent="0.2">
      <c r="A14" s="34" t="s">
        <v>61</v>
      </c>
      <c r="B14" s="83">
        <v>5.5E-2</v>
      </c>
    </row>
    <row r="17" spans="1:1" s="29" customFormat="1" ht="16" x14ac:dyDescent="0.2">
      <c r="A17" s="35" t="s">
        <v>8</v>
      </c>
    </row>
    <row r="18" spans="1:1" s="29" customFormat="1" ht="16" customHeight="1" x14ac:dyDescent="0.2">
      <c r="A18" s="36" t="s">
        <v>194</v>
      </c>
    </row>
    <row r="19" spans="1:1" s="29" customFormat="1" ht="16" customHeight="1" x14ac:dyDescent="0.2">
      <c r="A19" s="34" t="s">
        <v>126</v>
      </c>
    </row>
    <row r="20" spans="1:1" s="29" customFormat="1" ht="16" customHeight="1" x14ac:dyDescent="0.2">
      <c r="A20" s="34" t="s">
        <v>173</v>
      </c>
    </row>
    <row r="21" spans="1:1" ht="16" customHeight="1" x14ac:dyDescent="0.2">
      <c r="A21" s="34" t="s">
        <v>174</v>
      </c>
    </row>
    <row r="22" spans="1:1" ht="18" customHeight="1" x14ac:dyDescent="0.2">
      <c r="A22" s="34" t="s">
        <v>166</v>
      </c>
    </row>
    <row r="23" spans="1:1" ht="18" customHeight="1" x14ac:dyDescent="0.2">
      <c r="A23" s="34" t="s">
        <v>167</v>
      </c>
    </row>
    <row r="24" spans="1:1" ht="18" customHeight="1" x14ac:dyDescent="0.2">
      <c r="A24" s="34" t="s">
        <v>127</v>
      </c>
    </row>
    <row r="25" spans="1:1" ht="18" customHeight="1" x14ac:dyDescent="0.2">
      <c r="A25" s="34" t="s">
        <v>190</v>
      </c>
    </row>
    <row r="26" spans="1:1" ht="18" customHeight="1" x14ac:dyDescent="0.2">
      <c r="A26" t="s">
        <v>128</v>
      </c>
    </row>
    <row r="27" spans="1:1" ht="18" customHeight="1" x14ac:dyDescent="0.2">
      <c r="A27" s="34" t="s">
        <v>168</v>
      </c>
    </row>
    <row r="28" spans="1:1" ht="18" customHeight="1" x14ac:dyDescent="0.2">
      <c r="A28" s="34" t="s">
        <v>169</v>
      </c>
    </row>
    <row r="29" spans="1:1" ht="18" customHeight="1" x14ac:dyDescent="0.2">
      <c r="A29" s="34" t="s">
        <v>129</v>
      </c>
    </row>
    <row r="30" spans="1:1" ht="18" customHeight="1" x14ac:dyDescent="0.2">
      <c r="A30" s="34" t="s">
        <v>170</v>
      </c>
    </row>
    <row r="31" spans="1:1" ht="18" customHeight="1" x14ac:dyDescent="0.2">
      <c r="A31" s="34" t="s">
        <v>171</v>
      </c>
    </row>
    <row r="32" spans="1:1" ht="18" customHeight="1" x14ac:dyDescent="0.15"/>
  </sheetData>
  <mergeCells count="2">
    <mergeCell ref="B6:C6"/>
    <mergeCell ref="A3:D3"/>
  </mergeCells>
  <phoneticPr fontId="2" type="noConversion"/>
  <printOptions horizontalCentered="1" verticalCentered="1" gridLines="1"/>
  <pageMargins left="0.75" right="0.25" top="1" bottom="1" header="0.5" footer="0.5"/>
  <pageSetup scale="88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G35"/>
  <sheetViews>
    <sheetView zoomScale="130" zoomScaleNormal="13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AG35"/>
    </sheetView>
  </sheetViews>
  <sheetFormatPr baseColWidth="10" defaultColWidth="40" defaultRowHeight="16" x14ac:dyDescent="0.2"/>
  <cols>
    <col min="1" max="1" width="3.83203125" style="34" customWidth="1"/>
    <col min="2" max="2" width="38.5" style="34" customWidth="1"/>
    <col min="3" max="7" width="12.83203125" style="34" customWidth="1"/>
    <col min="8" max="8" width="2.83203125" style="34" customWidth="1"/>
    <col min="9" max="9" width="7.83203125" style="34" customWidth="1"/>
    <col min="10" max="10" width="8.1640625" style="45" customWidth="1"/>
    <col min="11" max="11" width="12.83203125" style="34" customWidth="1"/>
    <col min="12" max="12" width="3.1640625" style="34" customWidth="1"/>
    <col min="13" max="13" width="3.6640625" style="34" customWidth="1"/>
    <col min="14" max="14" width="38.5" style="34" customWidth="1"/>
    <col min="15" max="15" width="7.83203125" style="34" customWidth="1"/>
    <col min="16" max="16" width="6.5" style="45" customWidth="1"/>
    <col min="17" max="17" width="11.5" style="34" customWidth="1"/>
    <col min="18" max="18" width="2.83203125" style="34" customWidth="1"/>
    <col min="19" max="19" width="7.83203125" style="34" customWidth="1"/>
    <col min="20" max="20" width="6.5" style="45" customWidth="1"/>
    <col min="21" max="21" width="11.5" style="34" customWidth="1"/>
    <col min="22" max="22" width="2.83203125" style="34" customWidth="1"/>
    <col min="23" max="23" width="7.83203125" style="34" customWidth="1"/>
    <col min="24" max="24" width="6.5" style="45" customWidth="1"/>
    <col min="25" max="25" width="11.5" style="34" customWidth="1"/>
    <col min="26" max="26" width="2.83203125" style="34" customWidth="1"/>
    <col min="27" max="27" width="7.83203125" style="34" customWidth="1"/>
    <col min="28" max="28" width="6.5" style="45" customWidth="1"/>
    <col min="29" max="29" width="11.5" style="34" customWidth="1"/>
    <col min="30" max="30" width="2.83203125" style="34" customWidth="1"/>
    <col min="31" max="31" width="7.83203125" style="34" customWidth="1"/>
    <col min="32" max="32" width="6.5" style="45" customWidth="1"/>
    <col min="33" max="33" width="11.5" style="34" customWidth="1"/>
    <col min="34" max="16384" width="40" style="34"/>
  </cols>
  <sheetData>
    <row r="1" spans="1:33" ht="18" x14ac:dyDescent="0.2">
      <c r="E1" s="43" t="str">
        <f>Setup!B2</f>
        <v xml:space="preserve">Five Year Operating and Membership Plan </v>
      </c>
    </row>
    <row r="2" spans="1:33" ht="18" x14ac:dyDescent="0.2">
      <c r="B2" s="112" t="s">
        <v>130</v>
      </c>
      <c r="C2" s="112"/>
      <c r="D2" s="112"/>
      <c r="E2" s="112"/>
      <c r="O2" s="112" t="s">
        <v>130</v>
      </c>
    </row>
    <row r="4" spans="1:33" ht="26" x14ac:dyDescent="0.4">
      <c r="C4" s="192" t="str">
        <f>Setup!B6</f>
        <v>XXX Council</v>
      </c>
      <c r="O4" s="192" t="s">
        <v>172</v>
      </c>
    </row>
    <row r="6" spans="1:33" x14ac:dyDescent="0.2">
      <c r="C6" s="45">
        <f>Setup!$B4-5</f>
        <v>2015</v>
      </c>
      <c r="D6" s="45">
        <f>Setup!$B4-4</f>
        <v>2016</v>
      </c>
      <c r="E6" s="45">
        <f>Setup!$B4-3</f>
        <v>2017</v>
      </c>
      <c r="F6" s="45">
        <f>Setup!$B4-2</f>
        <v>2018</v>
      </c>
      <c r="G6" s="45">
        <f>Setup!$B4-1</f>
        <v>2019</v>
      </c>
      <c r="H6" s="45"/>
      <c r="I6" s="45"/>
      <c r="K6" s="45">
        <f>Setup!B4</f>
        <v>2020</v>
      </c>
      <c r="L6" s="45"/>
      <c r="M6" s="45"/>
      <c r="N6" s="45"/>
      <c r="O6" s="119">
        <f>$K6+1</f>
        <v>2021</v>
      </c>
      <c r="R6" s="45"/>
      <c r="S6" s="119">
        <f>$K6+2</f>
        <v>2022</v>
      </c>
      <c r="U6" s="45"/>
      <c r="V6" s="45"/>
      <c r="W6" s="119">
        <f>$K6+3</f>
        <v>2023</v>
      </c>
      <c r="Y6" s="45"/>
      <c r="Z6" s="45"/>
      <c r="AA6" s="119">
        <f>$K6+4</f>
        <v>2024</v>
      </c>
      <c r="AC6" s="45"/>
      <c r="AD6" s="45"/>
      <c r="AE6" s="119">
        <f>$K6+5</f>
        <v>2025</v>
      </c>
      <c r="AG6" s="45"/>
    </row>
    <row r="7" spans="1:33" ht="17" thickBot="1" x14ac:dyDescent="0.25">
      <c r="C7" s="204" t="s">
        <v>114</v>
      </c>
      <c r="D7" s="204" t="s">
        <v>114</v>
      </c>
      <c r="E7" s="204" t="s">
        <v>114</v>
      </c>
      <c r="F7" s="204" t="s">
        <v>114</v>
      </c>
      <c r="G7" s="204" t="s">
        <v>114</v>
      </c>
      <c r="H7" s="116"/>
      <c r="I7" s="116"/>
      <c r="J7" s="116"/>
      <c r="K7" s="116" t="s">
        <v>103</v>
      </c>
      <c r="L7" s="193"/>
      <c r="M7" s="193"/>
      <c r="O7" s="115"/>
      <c r="P7" s="116"/>
      <c r="Q7" s="115" t="s">
        <v>104</v>
      </c>
      <c r="S7" s="115"/>
      <c r="T7" s="116"/>
      <c r="U7" s="115" t="s">
        <v>105</v>
      </c>
      <c r="W7" s="115"/>
      <c r="X7" s="116"/>
      <c r="Y7" s="115" t="s">
        <v>106</v>
      </c>
      <c r="AA7" s="115"/>
      <c r="AB7" s="116"/>
      <c r="AC7" s="115" t="s">
        <v>107</v>
      </c>
      <c r="AD7" s="114"/>
      <c r="AE7" s="115"/>
      <c r="AF7" s="116"/>
      <c r="AG7" s="115" t="s">
        <v>108</v>
      </c>
    </row>
    <row r="8" spans="1:33" x14ac:dyDescent="0.2">
      <c r="A8" s="190" t="s">
        <v>113</v>
      </c>
      <c r="H8" s="45"/>
      <c r="I8" s="53" t="s">
        <v>116</v>
      </c>
      <c r="J8" s="53"/>
      <c r="K8" s="45" t="s">
        <v>115</v>
      </c>
      <c r="L8" s="45"/>
      <c r="M8" s="190" t="s">
        <v>113</v>
      </c>
      <c r="O8" s="45" t="s">
        <v>116</v>
      </c>
      <c r="P8" s="53"/>
      <c r="Q8" s="45" t="s">
        <v>115</v>
      </c>
      <c r="S8" s="45" t="s">
        <v>116</v>
      </c>
      <c r="T8" s="53"/>
      <c r="U8" s="45" t="s">
        <v>115</v>
      </c>
      <c r="W8" s="45" t="s">
        <v>116</v>
      </c>
      <c r="X8" s="53"/>
      <c r="Y8" s="45" t="s">
        <v>115</v>
      </c>
      <c r="AA8" s="45" t="s">
        <v>116</v>
      </c>
      <c r="AB8" s="53"/>
      <c r="AC8" s="45" t="s">
        <v>115</v>
      </c>
      <c r="AD8" s="114"/>
      <c r="AE8" s="45" t="s">
        <v>116</v>
      </c>
      <c r="AF8" s="53"/>
      <c r="AG8" s="45" t="s">
        <v>115</v>
      </c>
    </row>
    <row r="9" spans="1:33" x14ac:dyDescent="0.2">
      <c r="J9" s="117" t="s">
        <v>134</v>
      </c>
      <c r="P9" s="117" t="s">
        <v>134</v>
      </c>
      <c r="T9" s="117" t="s">
        <v>134</v>
      </c>
      <c r="X9" s="117" t="s">
        <v>134</v>
      </c>
      <c r="AB9" s="117" t="s">
        <v>134</v>
      </c>
      <c r="AD9" s="114"/>
      <c r="AF9" s="117" t="s">
        <v>134</v>
      </c>
    </row>
    <row r="10" spans="1:33" x14ac:dyDescent="0.2">
      <c r="B10" s="189" t="s">
        <v>132</v>
      </c>
      <c r="C10" s="271">
        <v>2435</v>
      </c>
      <c r="D10" s="271">
        <v>2380</v>
      </c>
      <c r="E10" s="271">
        <v>2401</v>
      </c>
      <c r="F10" s="271">
        <v>2116</v>
      </c>
      <c r="G10" s="271">
        <v>1828</v>
      </c>
      <c r="H10" s="275"/>
      <c r="I10" s="272">
        <v>20</v>
      </c>
      <c r="J10" s="154">
        <f>IF(I10&gt;0,K10/F10-1,0)</f>
        <v>-0.12665406427221171</v>
      </c>
      <c r="K10" s="51">
        <f>IF(I10&gt;0,I10+G10,0)</f>
        <v>1848</v>
      </c>
      <c r="L10" s="186"/>
      <c r="N10" s="189" t="s">
        <v>132</v>
      </c>
      <c r="O10" s="272">
        <v>12</v>
      </c>
      <c r="P10" s="154">
        <f>IF(O10&gt;0,Q10/K10-1,0)</f>
        <v>6.4935064935065512E-3</v>
      </c>
      <c r="Q10" s="186">
        <f>IF(O10&gt;0,O10+K10,0)</f>
        <v>1860</v>
      </c>
      <c r="S10" s="272">
        <v>12</v>
      </c>
      <c r="T10" s="154">
        <f>IF(S10&gt;0,U10/Q10-1,0)</f>
        <v>6.4516129032257119E-3</v>
      </c>
      <c r="U10" s="186">
        <f>IF(S10&gt;0,S10+Q10,0)</f>
        <v>1872</v>
      </c>
      <c r="W10" s="272">
        <v>12</v>
      </c>
      <c r="X10" s="154">
        <f>IF(W10&gt;0,Y10/U10-1,0)</f>
        <v>6.4102564102563875E-3</v>
      </c>
      <c r="Y10" s="186">
        <f>IF(W10&gt;0,W10+U10,0)</f>
        <v>1884</v>
      </c>
      <c r="AA10" s="272">
        <v>12</v>
      </c>
      <c r="AB10" s="154">
        <f>IF(AA10&gt;0,AC10/Y10-1,0)</f>
        <v>6.3694267515923553E-3</v>
      </c>
      <c r="AC10" s="186">
        <f>IF(AA10&gt;0,AA10+Y10,0)</f>
        <v>1896</v>
      </c>
      <c r="AD10" s="114"/>
      <c r="AE10" s="272">
        <v>12</v>
      </c>
      <c r="AF10" s="154">
        <f>IF(AE10&gt;0,AG10/AC10-1,0)</f>
        <v>6.3291139240506666E-3</v>
      </c>
      <c r="AG10" s="186">
        <f>IF(AE10&gt;0,AE10+AC10,0)</f>
        <v>1908</v>
      </c>
    </row>
    <row r="11" spans="1:33" customFormat="1" ht="13" x14ac:dyDescent="0.15">
      <c r="C11" s="206"/>
      <c r="J11" s="203"/>
      <c r="P11" s="203"/>
      <c r="Q11" s="187"/>
      <c r="T11" s="203"/>
      <c r="U11" s="187"/>
      <c r="X11" s="203"/>
      <c r="Y11" s="187"/>
      <c r="AB11" s="203"/>
      <c r="AC11" s="187"/>
      <c r="AF11" s="17"/>
      <c r="AG11" s="187"/>
    </row>
    <row r="12" spans="1:33" x14ac:dyDescent="0.2">
      <c r="B12" s="189" t="s">
        <v>191</v>
      </c>
      <c r="C12" s="271">
        <v>2422</v>
      </c>
      <c r="D12" s="271">
        <v>2413</v>
      </c>
      <c r="E12" s="271">
        <v>2377</v>
      </c>
      <c r="F12" s="271">
        <v>2245</v>
      </c>
      <c r="G12" s="271">
        <v>2066</v>
      </c>
      <c r="H12" s="275"/>
      <c r="I12" s="272">
        <v>18</v>
      </c>
      <c r="J12" s="154">
        <f>IF(I12&gt;0,K12/F12-1,0)</f>
        <v>-7.1714922048997765E-2</v>
      </c>
      <c r="K12" s="51">
        <f>IF(I12&gt;0,I12+G12,0)</f>
        <v>2084</v>
      </c>
      <c r="L12" s="186"/>
      <c r="N12" s="189" t="s">
        <v>133</v>
      </c>
      <c r="O12" s="272">
        <v>12</v>
      </c>
      <c r="P12" s="154">
        <f>IF(O12&gt;0,Q12/K12-1,0)</f>
        <v>5.7581573896352545E-3</v>
      </c>
      <c r="Q12" s="186">
        <f>IF(O12&gt;0,O12+K12,K12)</f>
        <v>2096</v>
      </c>
      <c r="S12" s="272">
        <v>12</v>
      </c>
      <c r="T12" s="154">
        <f>IF(S12&gt;0,U12/Q12-1,0)</f>
        <v>5.7251908396946938E-3</v>
      </c>
      <c r="U12" s="186">
        <f>IF(S12&gt;0,S12+Q12,Q12)</f>
        <v>2108</v>
      </c>
      <c r="W12" s="272">
        <v>12</v>
      </c>
      <c r="X12" s="154">
        <f>IF(W12&gt;0,Y12/U12-1,0)</f>
        <v>5.6925996204932883E-3</v>
      </c>
      <c r="Y12" s="186">
        <f>IF(W12&gt;0,W12+U12,U12)</f>
        <v>2120</v>
      </c>
      <c r="AA12" s="272">
        <v>12</v>
      </c>
      <c r="AB12" s="154">
        <f>IF(AA12&gt;0,AC12/Y12-1,0)</f>
        <v>5.6603773584906758E-3</v>
      </c>
      <c r="AC12" s="186">
        <f>IF(AA12&gt;0,AA12+Y12,Y12)</f>
        <v>2132</v>
      </c>
      <c r="AD12" s="114"/>
      <c r="AE12" s="272">
        <v>12</v>
      </c>
      <c r="AF12" s="154">
        <f>IF(AE12&gt;0,AG12/AC12-1,0)</f>
        <v>5.6285178236397115E-3</v>
      </c>
      <c r="AG12" s="186">
        <f>IF(AE12&gt;0,AE12+AC12,AC12)</f>
        <v>2144</v>
      </c>
    </row>
    <row r="13" spans="1:33" customFormat="1" ht="13" x14ac:dyDescent="0.15">
      <c r="C13" s="206"/>
      <c r="J13" s="203"/>
      <c r="P13" s="203"/>
      <c r="Q13" s="187"/>
      <c r="T13" s="203"/>
      <c r="U13" s="187"/>
      <c r="X13" s="203"/>
      <c r="Y13" s="187"/>
      <c r="AB13" s="203"/>
      <c r="AC13" s="187"/>
      <c r="AF13" s="17"/>
      <c r="AG13" s="187"/>
    </row>
    <row r="14" spans="1:33" ht="19" x14ac:dyDescent="0.35">
      <c r="B14" s="189" t="s">
        <v>110</v>
      </c>
      <c r="C14" s="273">
        <v>1159</v>
      </c>
      <c r="D14" s="273">
        <v>982</v>
      </c>
      <c r="E14" s="273">
        <v>1014</v>
      </c>
      <c r="F14" s="273">
        <v>563</v>
      </c>
      <c r="G14" s="273">
        <v>453</v>
      </c>
      <c r="H14" s="275"/>
      <c r="I14" s="274">
        <v>24</v>
      </c>
      <c r="J14" s="202">
        <f>IF(I14&gt;0,K14/F14-1,0)</f>
        <v>-0.15275310834813494</v>
      </c>
      <c r="K14" s="51">
        <f>IF(I14&gt;0,I14+G14,0)</f>
        <v>477</v>
      </c>
      <c r="L14" s="186"/>
      <c r="N14" s="189" t="s">
        <v>110</v>
      </c>
      <c r="O14" s="274">
        <v>9</v>
      </c>
      <c r="P14" s="202">
        <f>IF(O14&gt;0,Q14/K14-1,0)</f>
        <v>1.8867924528301883E-2</v>
      </c>
      <c r="Q14" s="201">
        <f>IF(O14&gt;0,O14+K14,K14)</f>
        <v>486</v>
      </c>
      <c r="S14" s="274">
        <v>9</v>
      </c>
      <c r="T14" s="202">
        <f>IF(S14&gt;0,U14/Q14-1,0)</f>
        <v>1.8518518518518601E-2</v>
      </c>
      <c r="U14" s="201">
        <f>IF(S14&gt;0,S14+Q14,Q14)</f>
        <v>495</v>
      </c>
      <c r="W14" s="274">
        <v>9</v>
      </c>
      <c r="X14" s="202">
        <f>IF(W14&gt;0,Y14/U14-1,0)</f>
        <v>1.8181818181818077E-2</v>
      </c>
      <c r="Y14" s="186">
        <f>IF(W14&gt;0,W14+U14,U14)</f>
        <v>504</v>
      </c>
      <c r="AA14" s="274">
        <v>9</v>
      </c>
      <c r="AB14" s="202">
        <f>IF(AA14&gt;0,AC14/Y14-1,0)</f>
        <v>1.7857142857142794E-2</v>
      </c>
      <c r="AC14" s="201">
        <f>IF(AA14&gt;0,AA14+Y14,Y14)</f>
        <v>513</v>
      </c>
      <c r="AD14" s="114"/>
      <c r="AE14" s="274">
        <v>9</v>
      </c>
      <c r="AF14" s="202">
        <f>IF(AE14&gt;0,AG14/AC14-1,0)</f>
        <v>1.7543859649122862E-2</v>
      </c>
      <c r="AG14" s="186">
        <f>IF(AE14&gt;0,AE14+AC14,AC14)</f>
        <v>522</v>
      </c>
    </row>
    <row r="15" spans="1:33" x14ac:dyDescent="0.2">
      <c r="B15" s="50" t="s">
        <v>135</v>
      </c>
      <c r="C15" s="179">
        <f>C10+C12+C14</f>
        <v>6016</v>
      </c>
      <c r="D15" s="179">
        <f>D10+D12+D14</f>
        <v>5775</v>
      </c>
      <c r="E15" s="179">
        <f>E10+E12+E14</f>
        <v>5792</v>
      </c>
      <c r="F15" s="179">
        <f>F10+F12+F14</f>
        <v>4924</v>
      </c>
      <c r="G15" s="179">
        <f>G10+G12+G14</f>
        <v>4347</v>
      </c>
      <c r="H15" s="179"/>
      <c r="I15" s="179">
        <f>I10+I12+I14</f>
        <v>62</v>
      </c>
      <c r="J15" s="154">
        <f>IF(I15&gt;0,K15/G15-1,0)</f>
        <v>1.4262709914883764E-2</v>
      </c>
      <c r="K15" s="49">
        <f>K10+K12+K14</f>
        <v>4409</v>
      </c>
      <c r="L15" s="49"/>
      <c r="N15" s="50" t="s">
        <v>135</v>
      </c>
      <c r="O15" s="179">
        <f>O10+O12+O14</f>
        <v>33</v>
      </c>
      <c r="P15" s="154">
        <f>IF(O15&gt;0,Q15/K15-1,0)</f>
        <v>7.4846904059877595E-3</v>
      </c>
      <c r="Q15" s="188">
        <f>Q10+Q12+Q14</f>
        <v>4442</v>
      </c>
      <c r="S15" s="179">
        <f>S10+S12+S14</f>
        <v>33</v>
      </c>
      <c r="T15" s="154">
        <f>IF(S15&gt;0,U15/Q15-1,0)</f>
        <v>7.4290859972985235E-3</v>
      </c>
      <c r="U15" s="188">
        <f>U10+U12+U14</f>
        <v>4475</v>
      </c>
      <c r="W15" s="179">
        <f>W10+W12+W14</f>
        <v>33</v>
      </c>
      <c r="X15" s="154">
        <f>IF(W15&gt;0,Y15/U15-1,0)</f>
        <v>7.3743016759777458E-3</v>
      </c>
      <c r="Y15" s="188">
        <f>Y10+Y12+Y14</f>
        <v>4508</v>
      </c>
      <c r="AA15" s="179">
        <f>AA10+AA12+AA14</f>
        <v>33</v>
      </c>
      <c r="AB15" s="154">
        <f>IF(AA15&gt;0,AC15/Y15-1,0)</f>
        <v>7.3203194321207476E-3</v>
      </c>
      <c r="AC15" s="188">
        <f>AC10+AC12+AC14</f>
        <v>4541</v>
      </c>
      <c r="AD15" s="114"/>
      <c r="AE15" s="179">
        <f>AE10+AE12+AE14</f>
        <v>33</v>
      </c>
      <c r="AF15" s="154">
        <f>IF(AE15&gt;0,AG15/AC15-1,0)</f>
        <v>7.2671217793438547E-3</v>
      </c>
      <c r="AG15" s="188">
        <f>AG10+AG12+AG14</f>
        <v>4574</v>
      </c>
    </row>
    <row r="16" spans="1:33" ht="19" x14ac:dyDescent="0.35">
      <c r="B16" s="189" t="s">
        <v>111</v>
      </c>
      <c r="C16" s="273">
        <v>517</v>
      </c>
      <c r="D16" s="273">
        <v>613</v>
      </c>
      <c r="E16" s="273">
        <v>700</v>
      </c>
      <c r="F16" s="273">
        <v>527</v>
      </c>
      <c r="G16" s="273">
        <v>568</v>
      </c>
      <c r="H16" s="275"/>
      <c r="I16" s="274">
        <v>1</v>
      </c>
      <c r="J16" s="202">
        <f>IF(I16&gt;0,K16/F16-1,0)</f>
        <v>7.9696394686906924E-2</v>
      </c>
      <c r="K16" s="51">
        <f>IF(I16&gt;0,I16+G16,0)</f>
        <v>569</v>
      </c>
      <c r="L16" s="186"/>
      <c r="N16" s="189" t="s">
        <v>111</v>
      </c>
      <c r="O16" s="274">
        <v>1</v>
      </c>
      <c r="P16" s="202">
        <f>IF(O16&gt;0,Q16/K16-1,0)</f>
        <v>1.7574692442883233E-3</v>
      </c>
      <c r="Q16" s="201">
        <f>IF(O16&gt;0,O16+K16,K16)</f>
        <v>570</v>
      </c>
      <c r="S16" s="274">
        <v>1</v>
      </c>
      <c r="T16" s="202">
        <f>IF(S16&gt;0,U16/Q16-1,0)</f>
        <v>1.7543859649122862E-3</v>
      </c>
      <c r="U16" s="201">
        <f>IF(S16&gt;0,S16+Q16,Q16)</f>
        <v>571</v>
      </c>
      <c r="W16" s="274">
        <v>1</v>
      </c>
      <c r="X16" s="202">
        <f>IF(W16&gt;0,Y16/U16-1,0)</f>
        <v>1.7513134851139256E-3</v>
      </c>
      <c r="Y16" s="186">
        <f>IF(W16&gt;0,W16+U16,U16)</f>
        <v>572</v>
      </c>
      <c r="AA16" s="274">
        <v>1</v>
      </c>
      <c r="AB16" s="202">
        <f>IF(AA16&gt;0,AC16/Y16-1,0)</f>
        <v>1.7482517482516613E-3</v>
      </c>
      <c r="AC16" s="201">
        <f>IF(AA16&gt;0,AA16+Y16,Y16)</f>
        <v>573</v>
      </c>
      <c r="AD16" s="114"/>
      <c r="AE16" s="274">
        <v>1</v>
      </c>
      <c r="AF16" s="202">
        <f>IF(AE16&gt;0,AG16/AC16-1,0)</f>
        <v>1.7452006980802626E-3</v>
      </c>
      <c r="AG16" s="186">
        <f>IF(AE16&gt;0,AE16+AC16,AC16)</f>
        <v>574</v>
      </c>
    </row>
    <row r="17" spans="1:33" x14ac:dyDescent="0.2">
      <c r="B17" s="50" t="s">
        <v>112</v>
      </c>
      <c r="C17" s="161">
        <f>C16+C15</f>
        <v>6533</v>
      </c>
      <c r="D17" s="161">
        <f>D16+D15</f>
        <v>6388</v>
      </c>
      <c r="E17" s="161">
        <f>E16+E15</f>
        <v>6492</v>
      </c>
      <c r="F17" s="161">
        <f>F16+F15</f>
        <v>5451</v>
      </c>
      <c r="G17" s="161">
        <f>G16+G15</f>
        <v>4915</v>
      </c>
      <c r="H17" s="161"/>
      <c r="I17" s="161">
        <f>I15+I16</f>
        <v>63</v>
      </c>
      <c r="J17" s="154">
        <f>IF(I17&gt;0,K17/G17-1,0)</f>
        <v>1.2817904374364142E-2</v>
      </c>
      <c r="K17" s="49">
        <f>G17+I17</f>
        <v>4978</v>
      </c>
      <c r="L17" s="49"/>
      <c r="N17" s="50" t="s">
        <v>112</v>
      </c>
      <c r="O17" s="161">
        <f>O15+O16</f>
        <v>34</v>
      </c>
      <c r="P17" s="154">
        <f>IF(O17&gt;0,Q17/K17-1,0)</f>
        <v>6.8300522298112565E-3</v>
      </c>
      <c r="Q17" s="161">
        <f>Q16+Q15</f>
        <v>5012</v>
      </c>
      <c r="S17" s="161">
        <f>S15+S16</f>
        <v>34</v>
      </c>
      <c r="T17" s="154">
        <f>IF(S17&gt;0,U17/Q17-1,0)</f>
        <v>6.7837190742219278E-3</v>
      </c>
      <c r="U17" s="161">
        <f>U16+U15</f>
        <v>5046</v>
      </c>
      <c r="W17" s="161">
        <f>W15+W16</f>
        <v>34</v>
      </c>
      <c r="X17" s="154">
        <f>IF(W17&gt;0,Y17/U17-1,0)</f>
        <v>6.7380103051921658E-3</v>
      </c>
      <c r="Y17" s="161">
        <f>Y16+Y15</f>
        <v>5080</v>
      </c>
      <c r="AA17" s="161">
        <f>AA15+AA16</f>
        <v>34</v>
      </c>
      <c r="AB17" s="154">
        <f>IF(AA17&gt;0,AC17/Y17-1,0)</f>
        <v>6.6929133858266709E-3</v>
      </c>
      <c r="AC17" s="161">
        <f>AC16+AC15</f>
        <v>5114</v>
      </c>
      <c r="AD17" s="114"/>
      <c r="AE17" s="161">
        <f>AE15+AE16</f>
        <v>34</v>
      </c>
      <c r="AF17" s="154">
        <f>IF(AE17&gt;0,AG17/AC17-1,0)</f>
        <v>6.6484161126318941E-3</v>
      </c>
      <c r="AG17" s="161">
        <f>AG16+AG15</f>
        <v>5148</v>
      </c>
    </row>
    <row r="18" spans="1:33" ht="17" thickBot="1" x14ac:dyDescent="0.25">
      <c r="A18" s="115"/>
      <c r="B18" s="115"/>
      <c r="C18" s="115"/>
      <c r="D18" s="115"/>
      <c r="E18" s="115"/>
      <c r="F18" s="115"/>
      <c r="G18" s="284"/>
      <c r="H18" s="115"/>
      <c r="I18" s="115"/>
      <c r="J18" s="116"/>
      <c r="K18" s="284"/>
      <c r="L18" s="199"/>
      <c r="M18" s="115"/>
      <c r="N18" s="115"/>
      <c r="O18" s="115"/>
      <c r="P18" s="116"/>
      <c r="Q18" s="115"/>
      <c r="R18" s="115"/>
      <c r="S18" s="115"/>
      <c r="T18" s="116"/>
      <c r="U18" s="115"/>
      <c r="V18" s="115"/>
      <c r="W18" s="115"/>
      <c r="X18" s="116"/>
      <c r="Y18" s="115"/>
      <c r="Z18" s="115"/>
      <c r="AA18" s="115"/>
      <c r="AB18" s="116"/>
      <c r="AC18" s="115"/>
      <c r="AD18" s="115"/>
      <c r="AE18" s="115"/>
      <c r="AF18" s="116"/>
      <c r="AG18" s="115"/>
    </row>
    <row r="19" spans="1:33" x14ac:dyDescent="0.2">
      <c r="A19" s="33" t="s">
        <v>120</v>
      </c>
      <c r="B19" s="33"/>
      <c r="C19" s="33"/>
      <c r="D19" s="33"/>
      <c r="E19" s="33"/>
      <c r="M19" s="33" t="s">
        <v>120</v>
      </c>
    </row>
    <row r="21" spans="1:33" x14ac:dyDescent="0.2">
      <c r="B21" s="35" t="s">
        <v>100</v>
      </c>
      <c r="C21" s="277">
        <f>'A. History Input &amp; Output'!E$8/'Membership History and Planning'!C$15</f>
        <v>50.604222074468083</v>
      </c>
      <c r="D21" s="277">
        <f>'A. History Input &amp; Output'!G$8/'Membership History and Planning'!D$15</f>
        <v>42.790303030303029</v>
      </c>
      <c r="E21" s="277">
        <f>'A. History Input &amp; Output'!I$8/'Membership History and Planning'!E$15</f>
        <v>44.460117403314918</v>
      </c>
      <c r="F21" s="277">
        <f>'A. History Input &amp; Output'!K$8/'Membership History and Planning'!F$15</f>
        <v>43.878350934199837</v>
      </c>
      <c r="G21" s="277">
        <f>'A. History Input &amp; Output'!M$8/'Membership History and Planning'!G$15</f>
        <v>61.46146767885898</v>
      </c>
      <c r="H21" s="277"/>
      <c r="I21" s="277"/>
      <c r="J21" s="278"/>
      <c r="K21" s="277">
        <f>'A. History Input &amp; Output'!O$8/'Membership History and Planning'!K$15</f>
        <v>57.473349965978677</v>
      </c>
      <c r="L21" s="48"/>
      <c r="M21" s="48"/>
      <c r="N21" s="35" t="s">
        <v>156</v>
      </c>
      <c r="Q21" s="277">
        <f>'E. Output'!C$8/'Membership History and Planning'!Q$15</f>
        <v>58.757766771724448</v>
      </c>
      <c r="R21" s="277"/>
      <c r="S21" s="277"/>
      <c r="T21" s="278"/>
      <c r="U21" s="277">
        <f>'E. Output'!E$8/'Membership History and Planning'!U$15</f>
        <v>60.074203351955305</v>
      </c>
      <c r="V21" s="277"/>
      <c r="W21" s="277"/>
      <c r="X21" s="278"/>
      <c r="Y21" s="277">
        <f>'E. Output'!G$8/'Membership History and Planning'!Y$15</f>
        <v>61.423474223602483</v>
      </c>
      <c r="Z21" s="277"/>
      <c r="AA21" s="277"/>
      <c r="AB21" s="278"/>
      <c r="AC21" s="277">
        <f>'E. Output'!I$8/'Membership History and Planning'!AC$15</f>
        <v>62.806415426998456</v>
      </c>
      <c r="AD21" s="277"/>
      <c r="AE21" s="277"/>
      <c r="AF21" s="278"/>
      <c r="AG21" s="277">
        <f>'E. Output'!K$8/'Membership History and Planning'!AG$15</f>
        <v>64.223885095675556</v>
      </c>
    </row>
    <row r="22" spans="1:33" x14ac:dyDescent="0.2">
      <c r="B22" s="35" t="s">
        <v>101</v>
      </c>
      <c r="C22" s="277">
        <f>'A. History Input &amp; Output'!E$14/'Membership History and Planning'!C$15</f>
        <v>91.750332446808514</v>
      </c>
      <c r="D22" s="277">
        <f>'A. History Input &amp; Output'!G$14/'Membership History and Planning'!D$15</f>
        <v>89.661645021645015</v>
      </c>
      <c r="E22" s="277">
        <f>'A. History Input &amp; Output'!I$14/'Membership History and Planning'!E$15</f>
        <v>96.583563535911608</v>
      </c>
      <c r="F22" s="277">
        <f>'A. History Input &amp; Output'!K$14/'Membership History and Planning'!F$15</f>
        <v>113.7055239642567</v>
      </c>
      <c r="G22" s="277">
        <f>'A. History Input &amp; Output'!M$14/'Membership History and Planning'!G$15</f>
        <v>105.24959742351047</v>
      </c>
      <c r="H22" s="277"/>
      <c r="I22" s="277"/>
      <c r="J22" s="278"/>
      <c r="K22" s="277">
        <f>'A. History Input &amp; Output'!O$14/'Membership History and Planning'!K$15</f>
        <v>126.62735314130188</v>
      </c>
      <c r="L22" s="48"/>
      <c r="M22" s="48"/>
      <c r="N22" s="35" t="s">
        <v>157</v>
      </c>
      <c r="Q22" s="277">
        <f>'E. Output'!C$14/'Membership History and Planning'!Q$15</f>
        <v>127.70801440792435</v>
      </c>
      <c r="R22" s="277"/>
      <c r="S22" s="277"/>
      <c r="T22" s="278"/>
      <c r="U22" s="277">
        <f>'E. Output'!E$14/'Membership History and Planning'!U$15</f>
        <v>128.83293184357541</v>
      </c>
      <c r="V22" s="277"/>
      <c r="W22" s="277"/>
      <c r="X22" s="278"/>
      <c r="Y22" s="277">
        <f>'E. Output'!G$14/'Membership History and Planning'!Y$15</f>
        <v>130.00292615350486</v>
      </c>
      <c r="Z22" s="277"/>
      <c r="AA22" s="277"/>
      <c r="AB22" s="278"/>
      <c r="AC22" s="277">
        <f>'E. Output'!I$14/'Membership History and Planning'!AC$15</f>
        <v>131.21884757388241</v>
      </c>
      <c r="AD22" s="277"/>
      <c r="AE22" s="277"/>
      <c r="AF22" s="278"/>
      <c r="AG22" s="277">
        <f>'E. Output'!K$14/'Membership History and Planning'!AG$15</f>
        <v>132.48157639658723</v>
      </c>
    </row>
    <row r="23" spans="1:33" x14ac:dyDescent="0.2">
      <c r="B23" s="35" t="s">
        <v>102</v>
      </c>
      <c r="C23" s="277">
        <f>'A. History Input &amp; Output'!E$29/'Membership History and Planning'!C$15</f>
        <v>199.44980053191489</v>
      </c>
      <c r="D23" s="277">
        <f>'A. History Input &amp; Output'!G$29/'Membership History and Planning'!D$15</f>
        <v>219.7522077922078</v>
      </c>
      <c r="E23" s="277">
        <f>'A. History Input &amp; Output'!I$29/'Membership History and Planning'!E$15</f>
        <v>224.12085635359117</v>
      </c>
      <c r="F23" s="277">
        <f>'A. History Input &amp; Output'!K$29/'Membership History and Planning'!F$15</f>
        <v>260.52091795288385</v>
      </c>
      <c r="G23" s="277">
        <f>'A. History Input &amp; Output'!M$29/'Membership History and Planning'!G$15</f>
        <v>273.42397055440534</v>
      </c>
      <c r="H23" s="277"/>
      <c r="I23" s="277"/>
      <c r="J23" s="278"/>
      <c r="K23" s="277">
        <f>'A. History Input &amp; Output'!O$29/'Membership History and Planning'!K$15</f>
        <v>224.94216375595374</v>
      </c>
      <c r="L23" s="48"/>
      <c r="M23" s="48"/>
      <c r="N23" s="35" t="s">
        <v>158</v>
      </c>
      <c r="Q23" s="277">
        <f>'E. Output'!C$29/'Membership History and Planning'!Q$15</f>
        <v>310.36195585361327</v>
      </c>
      <c r="R23" s="277"/>
      <c r="S23" s="277"/>
      <c r="T23" s="278"/>
      <c r="U23" s="277">
        <f>'E. Output'!E$29/'Membership History and Planning'!U$15</f>
        <v>307.72067827733406</v>
      </c>
      <c r="V23" s="277"/>
      <c r="W23" s="277"/>
      <c r="X23" s="278"/>
      <c r="Y23" s="277">
        <f>'E. Output'!G$29/'Membership History and Planning'!Y$15</f>
        <v>310.05502814575453</v>
      </c>
      <c r="Z23" s="277"/>
      <c r="AA23" s="277"/>
      <c r="AB23" s="278"/>
      <c r="AC23" s="277">
        <f>'E. Output'!I$29/'Membership History and Planning'!AC$15</f>
        <v>311.29686981595233</v>
      </c>
      <c r="AD23" s="277"/>
      <c r="AE23" s="277"/>
      <c r="AF23" s="278"/>
      <c r="AG23" s="277">
        <f>'E. Output'!K$29/'Membership History and Planning'!AG$15</f>
        <v>312.59353040412162</v>
      </c>
    </row>
    <row r="24" spans="1:33" x14ac:dyDescent="0.2">
      <c r="C24" s="277"/>
      <c r="D24" s="277"/>
      <c r="E24" s="277"/>
      <c r="F24" s="277"/>
      <c r="G24" s="277"/>
      <c r="H24" s="277"/>
      <c r="I24" s="277"/>
      <c r="J24" s="278"/>
      <c r="K24" s="277"/>
      <c r="Q24" s="277"/>
      <c r="R24" s="277"/>
      <c r="S24" s="277"/>
      <c r="T24" s="278"/>
      <c r="U24" s="277"/>
      <c r="V24" s="277"/>
      <c r="W24" s="277"/>
      <c r="X24" s="278"/>
      <c r="Y24" s="277"/>
      <c r="Z24" s="277"/>
      <c r="AA24" s="277"/>
      <c r="AB24" s="278"/>
      <c r="AC24" s="277"/>
      <c r="AD24" s="277"/>
      <c r="AE24" s="277"/>
      <c r="AF24" s="278"/>
      <c r="AG24" s="277"/>
    </row>
    <row r="25" spans="1:33" x14ac:dyDescent="0.2">
      <c r="B25" s="35" t="s">
        <v>152</v>
      </c>
      <c r="C25" s="277">
        <f>'A. History Input &amp; Output'!E$33/'Membership History and Planning'!C$15</f>
        <v>108.74119015957447</v>
      </c>
      <c r="D25" s="277">
        <f>'A. History Input &amp; Output'!G$33/'Membership History and Planning'!D$15</f>
        <v>115.44658008658008</v>
      </c>
      <c r="E25" s="277">
        <f>'A. History Input &amp; Output'!I$33/'Membership History and Planning'!E$15</f>
        <v>123.82803867403315</v>
      </c>
      <c r="F25" s="277">
        <f>'A. History Input &amp; Output'!K$33/'Membership History and Planning'!F$15</f>
        <v>133.17810722989441</v>
      </c>
      <c r="G25" s="277">
        <f>'A. History Input &amp; Output'!M$33/'Membership History and Planning'!G$15</f>
        <v>129.72601794340926</v>
      </c>
      <c r="H25" s="277"/>
      <c r="I25" s="277"/>
      <c r="J25" s="278"/>
      <c r="K25" s="277">
        <f>'A. History Input &amp; Output'!O$33/'Membership History and Planning'!K$15</f>
        <v>139.330006804264</v>
      </c>
      <c r="L25" s="48"/>
      <c r="M25" s="48"/>
      <c r="N25" s="35" t="s">
        <v>159</v>
      </c>
      <c r="Q25" s="277">
        <f>'E. Output'!C$33/'Membership History and Planning'!Q$15</f>
        <v>142.44375956776227</v>
      </c>
      <c r="R25" s="277"/>
      <c r="S25" s="277"/>
      <c r="T25" s="278"/>
      <c r="U25" s="277">
        <f>'E. Output'!E$33/'Membership History and Planning'!U$15</f>
        <v>145.63513640223465</v>
      </c>
      <c r="V25" s="277"/>
      <c r="W25" s="277"/>
      <c r="X25" s="278"/>
      <c r="Y25" s="277">
        <f>'E. Output'!G$33/'Membership History and Planning'!Y$15</f>
        <v>148.90611190372672</v>
      </c>
      <c r="Z25" s="277"/>
      <c r="AA25" s="277"/>
      <c r="AB25" s="278"/>
      <c r="AC25" s="277">
        <f>'E. Output'!I$33/'Membership History and Planning'!AC$15</f>
        <v>152.2587128464788</v>
      </c>
      <c r="AD25" s="277"/>
      <c r="AE25" s="277"/>
      <c r="AF25" s="278"/>
      <c r="AG25" s="277">
        <f>'E. Output'!K$33/'Membership History and Planning'!AG$15</f>
        <v>155.69501956426237</v>
      </c>
    </row>
    <row r="26" spans="1:33" ht="17" thickBot="1" x14ac:dyDescent="0.25">
      <c r="A26" s="115"/>
      <c r="B26" s="195" t="s">
        <v>153</v>
      </c>
      <c r="C26" s="279">
        <f>'A. History Input &amp; Output'!E$37/'Membership History and Planning'!C$15</f>
        <v>195.05817819148936</v>
      </c>
      <c r="D26" s="279">
        <f>'A. History Input &amp; Output'!G$37/'Membership History and Planning'!D$15</f>
        <v>218.08121212121213</v>
      </c>
      <c r="E26" s="279">
        <f>'A. History Input &amp; Output'!I$37/'Membership History and Planning'!E$15</f>
        <v>223.82838397790056</v>
      </c>
      <c r="F26" s="279">
        <f>'A. History Input &amp; Output'!K$37/'Membership History and Planning'!F$15</f>
        <v>254.27315190901706</v>
      </c>
      <c r="G26" s="279">
        <f>'A. History Input &amp; Output'!M$37/'Membership History and Planning'!G$15</f>
        <v>251.67977915804002</v>
      </c>
      <c r="H26" s="279"/>
      <c r="I26" s="279"/>
      <c r="J26" s="280"/>
      <c r="K26" s="279">
        <f>'A. History Input &amp; Output'!O$37/'Membership History and Planning'!K$15</f>
        <v>221.42254479473803</v>
      </c>
      <c r="L26" s="200"/>
      <c r="M26" s="196"/>
      <c r="N26" s="195" t="s">
        <v>160</v>
      </c>
      <c r="O26" s="115"/>
      <c r="P26" s="116"/>
      <c r="Q26" s="279">
        <f>'E. Output'!C$37/'Membership History and Planning'!Q$15</f>
        <v>225.96349167041873</v>
      </c>
      <c r="R26" s="279"/>
      <c r="S26" s="279"/>
      <c r="T26" s="280"/>
      <c r="U26" s="279">
        <f>'E. Output'!E$37/'Membership History and Planning'!U$15</f>
        <v>230.61156461452515</v>
      </c>
      <c r="V26" s="279"/>
      <c r="W26" s="279"/>
      <c r="X26" s="280"/>
      <c r="Y26" s="279">
        <f>'E. Output'!G$37/'Membership History and Planning'!Y$15</f>
        <v>235.36934485764195</v>
      </c>
      <c r="Z26" s="279"/>
      <c r="AA26" s="279"/>
      <c r="AB26" s="280"/>
      <c r="AC26" s="279">
        <f>'E. Output'!I$37/'Membership History and Planning'!AC$15</f>
        <v>240.23947930984724</v>
      </c>
      <c r="AD26" s="279"/>
      <c r="AE26" s="279"/>
      <c r="AF26" s="280"/>
      <c r="AG26" s="279">
        <f>'E. Output'!K$37/'Membership History and Planning'!AG$15</f>
        <v>245.2246822277757</v>
      </c>
    </row>
    <row r="27" spans="1:33" ht="17" thickBot="1" x14ac:dyDescent="0.25">
      <c r="A27" s="197"/>
      <c r="B27" s="197"/>
      <c r="C27" s="281"/>
      <c r="D27" s="281"/>
      <c r="E27" s="281"/>
      <c r="F27" s="281"/>
      <c r="G27" s="281"/>
      <c r="H27" s="281"/>
      <c r="I27" s="281"/>
      <c r="J27" s="282"/>
      <c r="K27" s="281"/>
      <c r="L27" s="199"/>
      <c r="M27" s="115"/>
      <c r="N27" s="115"/>
      <c r="O27" s="115"/>
      <c r="P27" s="116"/>
      <c r="Q27" s="279"/>
      <c r="R27" s="279"/>
      <c r="S27" s="279"/>
      <c r="T27" s="280"/>
      <c r="U27" s="279"/>
      <c r="V27" s="279"/>
      <c r="W27" s="279"/>
      <c r="X27" s="280"/>
      <c r="Y27" s="279"/>
      <c r="Z27" s="279"/>
      <c r="AA27" s="279"/>
      <c r="AB27" s="280"/>
      <c r="AC27" s="279"/>
      <c r="AD27" s="279"/>
      <c r="AE27" s="279"/>
      <c r="AF27" s="280"/>
      <c r="AG27" s="279"/>
    </row>
    <row r="28" spans="1:33" x14ac:dyDescent="0.2">
      <c r="A28" s="33" t="s">
        <v>121</v>
      </c>
      <c r="B28" s="33"/>
      <c r="C28" s="283"/>
      <c r="D28" s="283"/>
      <c r="E28" s="283"/>
      <c r="F28" s="277"/>
      <c r="G28" s="277"/>
      <c r="H28" s="277"/>
      <c r="I28" s="277"/>
      <c r="J28" s="278"/>
      <c r="K28" s="277"/>
      <c r="M28" s="33" t="s">
        <v>121</v>
      </c>
      <c r="Q28" s="277"/>
      <c r="R28" s="277"/>
      <c r="S28" s="277"/>
      <c r="T28" s="278"/>
      <c r="U28" s="277"/>
      <c r="V28" s="277"/>
      <c r="W28" s="277"/>
      <c r="X28" s="278"/>
      <c r="Y28" s="277"/>
      <c r="Z28" s="277"/>
      <c r="AA28" s="277"/>
      <c r="AB28" s="278"/>
      <c r="AC28" s="277"/>
      <c r="AD28" s="277"/>
      <c r="AE28" s="277"/>
      <c r="AF28" s="278"/>
      <c r="AG28" s="277"/>
    </row>
    <row r="29" spans="1:33" x14ac:dyDescent="0.2">
      <c r="C29" s="277"/>
      <c r="D29" s="277"/>
      <c r="E29" s="277"/>
      <c r="F29" s="277"/>
      <c r="G29" s="277"/>
      <c r="H29" s="277"/>
      <c r="I29" s="277"/>
      <c r="J29" s="278"/>
      <c r="K29" s="277"/>
      <c r="Q29" s="277"/>
      <c r="R29" s="277"/>
      <c r="S29" s="277"/>
      <c r="T29" s="278"/>
      <c r="U29" s="277"/>
      <c r="V29" s="277"/>
      <c r="W29" s="277"/>
      <c r="X29" s="278"/>
      <c r="Y29" s="277"/>
      <c r="Z29" s="277"/>
      <c r="AA29" s="277"/>
      <c r="AB29" s="278"/>
      <c r="AC29" s="277"/>
      <c r="AD29" s="277"/>
      <c r="AE29" s="277"/>
      <c r="AF29" s="278"/>
      <c r="AG29" s="277"/>
    </row>
    <row r="30" spans="1:33" x14ac:dyDescent="0.2">
      <c r="B30" s="35" t="s">
        <v>117</v>
      </c>
      <c r="C30" s="277">
        <f>'A. History Input &amp; Output'!E$8/'Membership History and Planning'!C$17</f>
        <v>46.59957140670442</v>
      </c>
      <c r="D30" s="277">
        <f>'A. History Input &amp; Output'!G$8/'Membership History and Planning'!D$17</f>
        <v>38.684095178459614</v>
      </c>
      <c r="E30" s="277">
        <f>'A. History Input &amp; Output'!I$8/'Membership History and Planning'!E$17</f>
        <v>39.666204559457796</v>
      </c>
      <c r="F30" s="277">
        <f>'A. History Input &amp; Output'!K$8/'Membership History and Planning'!F$17</f>
        <v>39.63621353880022</v>
      </c>
      <c r="G30" s="277">
        <f>'A. History Input &amp; Output'!M$8/'Membership History and Planning'!G$17</f>
        <v>54.358697863682607</v>
      </c>
      <c r="H30" s="277"/>
      <c r="I30" s="277"/>
      <c r="J30" s="278"/>
      <c r="K30" s="277">
        <f>'A. History Input &amp; Output'!O$8/'Membership History and Planning'!K$17</f>
        <v>50.90397750100442</v>
      </c>
      <c r="L30" s="48"/>
      <c r="M30" s="48"/>
      <c r="N30" s="35" t="s">
        <v>161</v>
      </c>
      <c r="Q30" s="277">
        <f>'E. Output'!C$8/'Membership History and Planning'!Q$17</f>
        <v>52.075418994413411</v>
      </c>
      <c r="R30" s="277"/>
      <c r="S30" s="277"/>
      <c r="T30" s="278"/>
      <c r="U30" s="277">
        <f>'E. Output'!E$8/'Membership History and Planning'!U$17</f>
        <v>53.276270313119305</v>
      </c>
      <c r="V30" s="277"/>
      <c r="W30" s="277"/>
      <c r="X30" s="278"/>
      <c r="Y30" s="277">
        <f>'E. Output'!G$8/'Membership History and Planning'!Y$17</f>
        <v>54.507287755905509</v>
      </c>
      <c r="Z30" s="277"/>
      <c r="AA30" s="277"/>
      <c r="AB30" s="278"/>
      <c r="AC30" s="277">
        <f>'E. Output'!I$8/'Membership History and Planning'!AC$17</f>
        <v>55.769247644505278</v>
      </c>
      <c r="AD30" s="277"/>
      <c r="AE30" s="277"/>
      <c r="AF30" s="278"/>
      <c r="AG30" s="277">
        <f>'E. Output'!K$8/'Membership History and Planning'!AG$17</f>
        <v>57.062946858512042</v>
      </c>
    </row>
    <row r="31" spans="1:33" x14ac:dyDescent="0.2">
      <c r="B31" s="35" t="s">
        <v>118</v>
      </c>
      <c r="C31" s="277">
        <f>'A. History Input &amp; Output'!E$14/'Membership History and Planning'!C$17</f>
        <v>84.489514771161794</v>
      </c>
      <c r="D31" s="277">
        <f>'A. History Input &amp; Output'!G$14/'Membership History and Planning'!D$17</f>
        <v>81.05760801502818</v>
      </c>
      <c r="E31" s="277">
        <f>'A. History Input &amp; Output'!I$14/'Membership History and Planning'!E$17</f>
        <v>86.169439309919895</v>
      </c>
      <c r="F31" s="277">
        <f>'A. History Input &amp; Output'!K$14/'Membership History and Planning'!F$17</f>
        <v>102.71252981104385</v>
      </c>
      <c r="G31" s="277">
        <f>'A. History Input &amp; Output'!M$14/'Membership History and Planning'!G$17</f>
        <v>93.086469989827066</v>
      </c>
      <c r="H31" s="277"/>
      <c r="I31" s="277"/>
      <c r="J31" s="278"/>
      <c r="K31" s="277">
        <f>'A. History Input &amp; Output'!O$14/'Membership History and Planning'!K$17</f>
        <v>112.15347529128164</v>
      </c>
      <c r="L31" s="48"/>
      <c r="M31" s="48"/>
      <c r="N31" s="35" t="s">
        <v>162</v>
      </c>
      <c r="Q31" s="277">
        <f>'E. Output'!C$14/'Membership History and Planning'!Q$17</f>
        <v>113.1841580207502</v>
      </c>
      <c r="R31" s="277"/>
      <c r="S31" s="277"/>
      <c r="T31" s="278"/>
      <c r="U31" s="277">
        <f>'E. Output'!E$14/'Membership History and Planning'!U$17</f>
        <v>114.25433412604043</v>
      </c>
      <c r="V31" s="277"/>
      <c r="W31" s="277"/>
      <c r="X31" s="278"/>
      <c r="Y31" s="277">
        <f>'E. Output'!G$14/'Membership History and Planning'!Y$17</f>
        <v>115.36480139763778</v>
      </c>
      <c r="Z31" s="277"/>
      <c r="AA31" s="277"/>
      <c r="AB31" s="278"/>
      <c r="AC31" s="277">
        <f>'E. Output'!I$14/'Membership History and Planning'!AC$17</f>
        <v>116.51638381560423</v>
      </c>
      <c r="AD31" s="277"/>
      <c r="AE31" s="277"/>
      <c r="AF31" s="278"/>
      <c r="AG31" s="277">
        <f>'E. Output'!K$14/'Membership History and Planning'!AG$17</f>
        <v>117.70993209751167</v>
      </c>
    </row>
    <row r="32" spans="1:33" x14ac:dyDescent="0.2">
      <c r="B32" s="35" t="s">
        <v>119</v>
      </c>
      <c r="C32" s="277">
        <f>'A. History Input &amp; Output'!E$29/'Membership History and Planning'!C$17</f>
        <v>183.66600336751875</v>
      </c>
      <c r="D32" s="277">
        <f>'A. History Input &amp; Output'!G$29/'Membership History and Planning'!D$17</f>
        <v>198.66452723857233</v>
      </c>
      <c r="E32" s="277">
        <f>'A. History Input &amp; Output'!I$29/'Membership History and Planning'!E$17</f>
        <v>199.95502156500308</v>
      </c>
      <c r="F32" s="277">
        <f>'A. History Input &amp; Output'!K$29/'Membership History and Planning'!F$17</f>
        <v>235.33388369106586</v>
      </c>
      <c r="G32" s="277">
        <f>'A. History Input &amp; Output'!M$29/'Membership History and Planning'!G$17</f>
        <v>241.82583926754833</v>
      </c>
      <c r="H32" s="277"/>
      <c r="I32" s="277"/>
      <c r="J32" s="278"/>
      <c r="K32" s="277">
        <f>'A. History Input &amp; Output'!O$29/'Membership History and Planning'!K$17</f>
        <v>199.23061470470068</v>
      </c>
      <c r="L32" s="48"/>
      <c r="M32" s="48"/>
      <c r="N32" s="35" t="s">
        <v>163</v>
      </c>
      <c r="Q32" s="277">
        <f>'E. Output'!C$29/'Membership History and Planning'!Q$17</f>
        <v>275.06540460928773</v>
      </c>
      <c r="R32" s="277"/>
      <c r="S32" s="277"/>
      <c r="T32" s="278"/>
      <c r="U32" s="277">
        <f>'E. Output'!E$29/'Membership History and Planning'!U$17</f>
        <v>272.89933319283983</v>
      </c>
      <c r="V32" s="277"/>
      <c r="W32" s="277"/>
      <c r="X32" s="278"/>
      <c r="Y32" s="277">
        <f>'E. Output'!G$29/'Membership History and Planning'!Y$17</f>
        <v>275.14332025217749</v>
      </c>
      <c r="Z32" s="277"/>
      <c r="AA32" s="277"/>
      <c r="AB32" s="278"/>
      <c r="AC32" s="277">
        <f>'E. Output'!I$29/'Membership History and Planning'!AC$17</f>
        <v>276.41749820771207</v>
      </c>
      <c r="AD32" s="277"/>
      <c r="AE32" s="277"/>
      <c r="AF32" s="278"/>
      <c r="AG32" s="277">
        <f>'E. Output'!K$29/'Membership History and Planning'!AG$17</f>
        <v>277.73947320677007</v>
      </c>
    </row>
    <row r="33" spans="1:33" x14ac:dyDescent="0.2">
      <c r="C33" s="277"/>
      <c r="D33" s="277"/>
      <c r="E33" s="277"/>
      <c r="F33" s="277"/>
      <c r="G33" s="277"/>
      <c r="H33" s="277"/>
      <c r="I33" s="277"/>
      <c r="J33" s="278"/>
      <c r="K33" s="277"/>
      <c r="Q33" s="277"/>
      <c r="R33" s="277"/>
      <c r="S33" s="277"/>
      <c r="T33" s="278"/>
      <c r="U33" s="277"/>
      <c r="V33" s="277"/>
      <c r="W33" s="277"/>
      <c r="X33" s="278"/>
      <c r="Y33" s="277"/>
      <c r="Z33" s="277"/>
      <c r="AA33" s="277"/>
      <c r="AB33" s="278"/>
      <c r="AC33" s="277"/>
      <c r="AD33" s="277"/>
      <c r="AE33" s="277"/>
      <c r="AF33" s="278"/>
      <c r="AG33" s="277"/>
    </row>
    <row r="34" spans="1:33" x14ac:dyDescent="0.2">
      <c r="B34" s="35" t="s">
        <v>143</v>
      </c>
      <c r="C34" s="277">
        <f>'A. History Input &amp; Output'!E$33/'Membership History and Planning'!C$17</f>
        <v>100.13577223327721</v>
      </c>
      <c r="D34" s="277">
        <f>'A. History Input &amp; Output'!G$33/'Membership History and Planning'!D$17</f>
        <v>104.36819035691923</v>
      </c>
      <c r="E34" s="277">
        <f>'A. History Input &amp; Output'!I$33/'Membership History and Planning'!E$17</f>
        <v>110.47627849661122</v>
      </c>
      <c r="F34" s="277">
        <f>'A. History Input &amp; Output'!K$33/'Membership History and Planning'!F$17</f>
        <v>120.30251330031187</v>
      </c>
      <c r="G34" s="277">
        <f>'A. History Input &amp; Output'!M$33/'Membership History and Planning'!G$17</f>
        <v>114.73428280773143</v>
      </c>
      <c r="H34" s="277"/>
      <c r="I34" s="277"/>
      <c r="J34" s="278"/>
      <c r="K34" s="277">
        <f>'A. History Input &amp; Output'!O$33/'Membership History and Planning'!K$17</f>
        <v>123.40417838489353</v>
      </c>
      <c r="L34" s="48"/>
      <c r="M34" s="48"/>
      <c r="N34" s="35" t="s">
        <v>164</v>
      </c>
      <c r="Q34" s="277">
        <f>'E. Output'!C$33/'Membership History and Planning'!Q$17</f>
        <v>126.24405027932961</v>
      </c>
      <c r="R34" s="277"/>
      <c r="S34" s="277"/>
      <c r="T34" s="278"/>
      <c r="U34" s="277">
        <f>'E. Output'!E$33/'Membership History and Planning'!U$17</f>
        <v>129.15521906460566</v>
      </c>
      <c r="V34" s="277"/>
      <c r="W34" s="277"/>
      <c r="X34" s="278"/>
      <c r="Y34" s="277">
        <f>'E. Output'!G$33/'Membership History and Planning'!Y$17</f>
        <v>132.13951820118112</v>
      </c>
      <c r="Z34" s="277"/>
      <c r="AA34" s="277"/>
      <c r="AB34" s="278"/>
      <c r="AC34" s="277">
        <f>'E. Output'!I$33/'Membership History and Planning'!AC$17</f>
        <v>135.19882969023467</v>
      </c>
      <c r="AD34" s="277"/>
      <c r="AE34" s="277"/>
      <c r="AF34" s="278"/>
      <c r="AG34" s="277">
        <f>'E. Output'!K$33/'Membership History and Planning'!AG$17</f>
        <v>138.33508537042269</v>
      </c>
    </row>
    <row r="35" spans="1:33" ht="17" thickBot="1" x14ac:dyDescent="0.25">
      <c r="A35" s="115"/>
      <c r="B35" s="198" t="s">
        <v>151</v>
      </c>
      <c r="C35" s="279">
        <f>'A. History Input &amp; Output'!E$37/'Membership History and Planning'!C$17</f>
        <v>179.62191948568804</v>
      </c>
      <c r="D35" s="279">
        <f>'A. History Input &amp; Output'!G$37/'Membership History and Planning'!D$17</f>
        <v>197.15388227927363</v>
      </c>
      <c r="E35" s="279">
        <f>'A. History Input &amp; Output'!I$37/'Membership History and Planning'!E$17</f>
        <v>199.69408502772643</v>
      </c>
      <c r="F35" s="279">
        <f>'A. History Input &amp; Output'!K$37/'Membership History and Planning'!F$17</f>
        <v>229.69014859658779</v>
      </c>
      <c r="G35" s="279">
        <f>'A. History Input &amp; Output'!M$37/'Membership History and Planning'!G$17</f>
        <v>222.59450661241098</v>
      </c>
      <c r="H35" s="279"/>
      <c r="I35" s="279"/>
      <c r="J35" s="280"/>
      <c r="K35" s="279">
        <f>'A. History Input &amp; Output'!O$37/'Membership History and Planning'!K$17</f>
        <v>196.11329851345923</v>
      </c>
      <c r="L35" s="200"/>
      <c r="M35" s="196"/>
      <c r="N35" s="198" t="s">
        <v>165</v>
      </c>
      <c r="O35" s="115"/>
      <c r="P35" s="116"/>
      <c r="Q35" s="279">
        <f>'E. Output'!C$37/'Membership History and Planning'!Q$17</f>
        <v>200.26532920989627</v>
      </c>
      <c r="R35" s="279"/>
      <c r="S35" s="279"/>
      <c r="T35" s="280"/>
      <c r="U35" s="279">
        <f>'E. Output'!E$37/'Membership History and Planning'!U$17</f>
        <v>204.51580492469282</v>
      </c>
      <c r="V35" s="279"/>
      <c r="W35" s="279"/>
      <c r="X35" s="280"/>
      <c r="Y35" s="279">
        <f>'E. Output'!G$37/'Membership History and Planning'!Y$17</f>
        <v>208.86712728705706</v>
      </c>
      <c r="Z35" s="279"/>
      <c r="AA35" s="279"/>
      <c r="AB35" s="280"/>
      <c r="AC35" s="279">
        <f>'E. Output'!I$37/'Membership History and Planning'!AC$17</f>
        <v>213.32175900391402</v>
      </c>
      <c r="AD35" s="279"/>
      <c r="AE35" s="279"/>
      <c r="AF35" s="280"/>
      <c r="AG35" s="279">
        <f>'E. Output'!K$37/'Membership History and Planning'!AG$17</f>
        <v>217.88222542926303</v>
      </c>
    </row>
  </sheetData>
  <phoneticPr fontId="2" type="noConversion"/>
  <printOptions horizontalCentered="1" verticalCentered="1" gridLines="1"/>
  <pageMargins left="0.25" right="0.25" top="1" bottom="1" header="0.5" footer="0.5"/>
  <pageSetup scale="38" orientation="landscape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2:AR86"/>
  <sheetViews>
    <sheetView showGridLines="0" zoomScale="120" zoomScaleNormal="120" workbookViewId="0">
      <pane xSplit="2" ySplit="5" topLeftCell="F19" activePane="bottomRight" state="frozen"/>
      <selection pane="topRight" activeCell="C1" sqref="C1"/>
      <selection pane="bottomLeft" activeCell="A6" sqref="A6"/>
      <selection pane="bottomRight" activeCell="M24" sqref="M24"/>
    </sheetView>
  </sheetViews>
  <sheetFormatPr baseColWidth="10" defaultColWidth="9.1640625" defaultRowHeight="11" x14ac:dyDescent="0.15"/>
  <cols>
    <col min="1" max="1" width="2" style="1" customWidth="1"/>
    <col min="2" max="2" width="38" style="1" customWidth="1"/>
    <col min="3" max="3" width="12.33203125" style="1" customWidth="1"/>
    <col min="4" max="4" width="7.83203125" style="1" customWidth="1"/>
    <col min="5" max="5" width="12.33203125" style="1" customWidth="1"/>
    <col min="6" max="6" width="9" style="1" customWidth="1"/>
    <col min="7" max="7" width="12.33203125" style="1" customWidth="1"/>
    <col min="8" max="8" width="7.6640625" style="1" customWidth="1"/>
    <col min="9" max="9" width="12.33203125" style="1" customWidth="1"/>
    <col min="10" max="10" width="7.6640625" style="1" customWidth="1"/>
    <col min="11" max="11" width="12.33203125" style="1" customWidth="1"/>
    <col min="12" max="12" width="7.6640625" style="1" customWidth="1"/>
    <col min="13" max="13" width="12.33203125" style="1" customWidth="1"/>
    <col min="14" max="14" width="7.6640625" style="1" customWidth="1"/>
    <col min="15" max="15" width="12.33203125" style="1" customWidth="1"/>
    <col min="16" max="16" width="7.6640625" style="1" customWidth="1"/>
    <col min="17" max="17" width="4.1640625" style="1" customWidth="1"/>
    <col min="18" max="18" width="45.1640625" style="1" customWidth="1"/>
    <col min="19" max="19" width="12.33203125" style="1" customWidth="1"/>
    <col min="20" max="20" width="7.6640625" style="1" customWidth="1"/>
    <col min="21" max="21" width="12.33203125" style="1" customWidth="1"/>
    <col min="22" max="22" width="7.6640625" style="1" customWidth="1"/>
    <col min="23" max="23" width="12.33203125" style="1" customWidth="1"/>
    <col min="24" max="24" width="7.6640625" style="1" customWidth="1"/>
    <col min="25" max="25" width="12.33203125" style="1" customWidth="1"/>
    <col min="26" max="26" width="7.6640625" style="1" customWidth="1"/>
    <col min="27" max="27" width="12.33203125" style="1" customWidth="1"/>
    <col min="28" max="28" width="9.83203125" style="1" customWidth="1"/>
    <col min="29" max="29" width="9.1640625" style="1" hidden="1" customWidth="1"/>
    <col min="30" max="30" width="7.6640625" style="1" hidden="1" customWidth="1"/>
    <col min="31" max="31" width="9.1640625" style="1" hidden="1" customWidth="1"/>
    <col min="32" max="32" width="7.6640625" style="1" hidden="1" customWidth="1"/>
    <col min="33" max="33" width="9.1640625" style="1" hidden="1" customWidth="1"/>
    <col min="34" max="34" width="7.6640625" style="1" hidden="1" customWidth="1"/>
    <col min="35" max="35" width="9.1640625" style="1" hidden="1" customWidth="1"/>
    <col min="36" max="36" width="7.6640625" style="1" hidden="1" customWidth="1"/>
    <col min="37" max="37" width="9.1640625" style="1" hidden="1" customWidth="1"/>
    <col min="38" max="38" width="7.6640625" style="1" hidden="1" customWidth="1"/>
    <col min="39" max="39" width="9.1640625" style="1" hidden="1" customWidth="1"/>
    <col min="40" max="40" width="7.6640625" style="1" hidden="1" customWidth="1"/>
    <col min="41" max="41" width="9.1640625" style="1" customWidth="1"/>
    <col min="42" max="16384" width="9.1640625" style="1"/>
  </cols>
  <sheetData>
    <row r="2" spans="1:40" ht="18" customHeight="1" x14ac:dyDescent="0.2">
      <c r="A2" s="113" t="s">
        <v>42</v>
      </c>
      <c r="G2" s="43" t="str">
        <f>Setup!B2</f>
        <v xml:space="preserve">Five Year Operating and Membership Plan </v>
      </c>
    </row>
    <row r="3" spans="1:40" ht="26" x14ac:dyDescent="0.4">
      <c r="A3" s="349" t="str">
        <f>Setup!B6&amp;" Council Operating Fund History"</f>
        <v>XXX Council Council Operating Fund History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S3" s="192" t="str">
        <f>Setup!B6&amp;" Five Year Plan"</f>
        <v>XXX Council Five Year Plan</v>
      </c>
    </row>
    <row r="4" spans="1:40" ht="18.75" customHeight="1" x14ac:dyDescent="0.2">
      <c r="A4" s="34"/>
      <c r="B4" s="34"/>
      <c r="C4" s="45">
        <f>Setup!$B4-6</f>
        <v>2014</v>
      </c>
      <c r="D4" s="45"/>
      <c r="E4" s="45">
        <f>Setup!$B4-5</f>
        <v>2015</v>
      </c>
      <c r="F4" s="45"/>
      <c r="G4" s="45">
        <f>Setup!$B4-4</f>
        <v>2016</v>
      </c>
      <c r="H4" s="45"/>
      <c r="I4" s="45">
        <f>Setup!$B4-3</f>
        <v>2017</v>
      </c>
      <c r="J4" s="45"/>
      <c r="K4" s="45">
        <f>Setup!$B4-2</f>
        <v>2018</v>
      </c>
      <c r="L4" s="45"/>
      <c r="M4" s="45">
        <f>Setup!$B4-1</f>
        <v>2019</v>
      </c>
      <c r="N4" s="45"/>
      <c r="O4" s="45">
        <f>Setup!$B4</f>
        <v>2020</v>
      </c>
      <c r="P4" s="45"/>
      <c r="Q4" s="45"/>
      <c r="R4" s="45"/>
      <c r="S4" s="45">
        <f>Setup!$B4+1</f>
        <v>2021</v>
      </c>
      <c r="T4" s="45"/>
      <c r="U4" s="45">
        <f>Setup!$B4+2</f>
        <v>2022</v>
      </c>
      <c r="V4" s="45"/>
      <c r="W4" s="45">
        <f>Setup!$B4+3</f>
        <v>2023</v>
      </c>
      <c r="X4" s="45"/>
      <c r="Y4" s="45">
        <f>Setup!$B4+4</f>
        <v>2024</v>
      </c>
      <c r="Z4" s="45"/>
      <c r="AA4" s="45">
        <f>Setup!$B4+5</f>
        <v>2025</v>
      </c>
      <c r="AB4" s="45"/>
      <c r="AC4" s="45">
        <v>2022</v>
      </c>
      <c r="AD4" s="45"/>
      <c r="AE4" s="45">
        <v>2023</v>
      </c>
      <c r="AF4" s="45"/>
      <c r="AG4" s="45">
        <v>2024</v>
      </c>
      <c r="AH4" s="45"/>
      <c r="AI4" s="45">
        <v>2025</v>
      </c>
      <c r="AJ4" s="45"/>
      <c r="AK4" s="45">
        <v>2026</v>
      </c>
      <c r="AL4" s="45"/>
      <c r="AM4" s="45">
        <v>2027</v>
      </c>
    </row>
    <row r="5" spans="1:40" ht="16" x14ac:dyDescent="0.2">
      <c r="A5" s="34"/>
      <c r="B5" s="34"/>
      <c r="C5" s="118" t="s">
        <v>97</v>
      </c>
      <c r="D5" s="153" t="s">
        <v>32</v>
      </c>
      <c r="E5" s="118" t="s">
        <v>97</v>
      </c>
      <c r="F5" s="153" t="s">
        <v>32</v>
      </c>
      <c r="G5" s="118" t="s">
        <v>97</v>
      </c>
      <c r="H5" s="153" t="s">
        <v>32</v>
      </c>
      <c r="I5" s="118" t="s">
        <v>97</v>
      </c>
      <c r="J5" s="153" t="s">
        <v>32</v>
      </c>
      <c r="K5" s="118" t="s">
        <v>97</v>
      </c>
      <c r="L5" s="153" t="s">
        <v>32</v>
      </c>
      <c r="M5" s="205" t="s">
        <v>97</v>
      </c>
      <c r="N5" s="153" t="s">
        <v>32</v>
      </c>
      <c r="O5" s="118" t="s">
        <v>98</v>
      </c>
      <c r="P5" s="153" t="s">
        <v>32</v>
      </c>
      <c r="Q5" s="153"/>
      <c r="R5" s="153"/>
      <c r="S5" s="119" t="s">
        <v>136</v>
      </c>
      <c r="T5" s="153" t="s">
        <v>32</v>
      </c>
      <c r="U5" s="119" t="s">
        <v>136</v>
      </c>
      <c r="V5" s="153" t="s">
        <v>32</v>
      </c>
      <c r="W5" s="119" t="s">
        <v>136</v>
      </c>
      <c r="X5" s="153" t="s">
        <v>32</v>
      </c>
      <c r="Y5" s="119" t="s">
        <v>136</v>
      </c>
      <c r="Z5" s="153" t="s">
        <v>32</v>
      </c>
      <c r="AA5" s="119" t="s">
        <v>136</v>
      </c>
      <c r="AB5" s="34"/>
      <c r="AC5" s="46"/>
      <c r="AE5" s="46"/>
      <c r="AG5" s="46"/>
      <c r="AI5" s="46"/>
      <c r="AK5" s="46"/>
      <c r="AM5" s="46"/>
    </row>
    <row r="6" spans="1:40" ht="15" customHeight="1" x14ac:dyDescent="0.2">
      <c r="A6" s="33" t="s">
        <v>39</v>
      </c>
      <c r="B6" s="34"/>
      <c r="C6" s="120"/>
      <c r="D6" s="153"/>
      <c r="E6" s="120"/>
      <c r="F6" s="153"/>
      <c r="G6" s="120"/>
      <c r="H6" s="153"/>
      <c r="I6" s="120"/>
      <c r="J6" s="153"/>
      <c r="K6" s="120"/>
      <c r="L6" s="153"/>
      <c r="M6" s="120"/>
      <c r="N6" s="153"/>
      <c r="O6" s="34"/>
      <c r="P6" s="38"/>
      <c r="Q6" s="33" t="s">
        <v>39</v>
      </c>
      <c r="R6" s="34"/>
      <c r="S6" s="34"/>
      <c r="T6" s="38"/>
      <c r="U6" s="34"/>
      <c r="V6" s="38"/>
      <c r="W6" s="34"/>
      <c r="X6" s="38"/>
      <c r="Y6" s="34"/>
      <c r="Z6" s="38"/>
      <c r="AA6" s="34"/>
      <c r="AB6" s="34"/>
    </row>
    <row r="7" spans="1:40" ht="6" customHeight="1" x14ac:dyDescent="0.2">
      <c r="A7" s="33"/>
      <c r="B7" s="34"/>
      <c r="C7" s="120"/>
      <c r="D7" s="153"/>
      <c r="E7" s="120"/>
      <c r="F7" s="153"/>
      <c r="G7" s="120"/>
      <c r="H7" s="153"/>
      <c r="I7" s="120"/>
      <c r="J7" s="153"/>
      <c r="K7" s="120"/>
      <c r="L7" s="153"/>
      <c r="M7" s="120"/>
      <c r="N7" s="153"/>
      <c r="O7" s="34"/>
      <c r="P7" s="38"/>
      <c r="Q7" s="33"/>
      <c r="R7" s="34"/>
      <c r="S7" s="34"/>
      <c r="T7" s="38"/>
      <c r="U7" s="34"/>
      <c r="V7" s="38"/>
      <c r="W7" s="34"/>
      <c r="X7" s="38"/>
      <c r="Y7" s="34"/>
      <c r="Z7" s="38"/>
      <c r="AA7" s="34"/>
      <c r="AB7" s="34"/>
    </row>
    <row r="8" spans="1:40" ht="15" customHeight="1" thickBot="1" x14ac:dyDescent="0.25">
      <c r="A8" s="34"/>
      <c r="B8" s="34" t="s">
        <v>15</v>
      </c>
      <c r="C8" s="214">
        <v>300900</v>
      </c>
      <c r="D8" s="154">
        <f t="shared" ref="D8:D26" si="0">C8/C$29</f>
        <v>0.2454088802292114</v>
      </c>
      <c r="E8" s="214">
        <f>13146+291289</f>
        <v>304435</v>
      </c>
      <c r="F8" s="154">
        <f t="shared" ref="F8:F26" si="1">E8/E$29</f>
        <v>0.25371909091666733</v>
      </c>
      <c r="G8" s="121">
        <f>245314+1800</f>
        <v>247114</v>
      </c>
      <c r="H8" s="154">
        <f t="shared" ref="H8:H26" si="2">G8/G$29</f>
        <v>0.1947206968257833</v>
      </c>
      <c r="I8" s="121">
        <v>257513</v>
      </c>
      <c r="J8" s="154">
        <f t="shared" ref="J8:J26" si="3">I8/I$29</f>
        <v>0.19837563592551621</v>
      </c>
      <c r="K8" s="121">
        <f>13104+202953</f>
        <v>216057</v>
      </c>
      <c r="L8" s="154">
        <f t="shared" ref="L8:L29" si="4">K8/K$29</f>
        <v>0.1684254426822471</v>
      </c>
      <c r="M8" s="121">
        <f>3795+263378</f>
        <v>267173</v>
      </c>
      <c r="N8" s="154">
        <f t="shared" ref="N8:N29" si="5">M8/M$29</f>
        <v>0.22478448964894066</v>
      </c>
      <c r="O8" s="121">
        <f>4500+248900</f>
        <v>253400</v>
      </c>
      <c r="P8" s="154">
        <f t="shared" ref="P8:P29" si="6">O8/O$29</f>
        <v>0.25550278794478559</v>
      </c>
      <c r="Q8" s="34"/>
      <c r="R8" s="34" t="s">
        <v>15</v>
      </c>
      <c r="S8" s="123">
        <f>'E. Output'!C8</f>
        <v>261002</v>
      </c>
      <c r="T8" s="154">
        <f t="shared" ref="T8:T29" si="7">S8/S$29</f>
        <v>0.18932013303666126</v>
      </c>
      <c r="U8" s="123">
        <f>'E. Output'!E8</f>
        <v>268832.06</v>
      </c>
      <c r="V8" s="154">
        <f t="shared" ref="V8:V29" si="8">U8/U$29</f>
        <v>0.19522316045921775</v>
      </c>
      <c r="W8" s="123">
        <f>'E. Output'!G8</f>
        <v>276897.02179999999</v>
      </c>
      <c r="X8" s="154">
        <f t="shared" ref="X8:X29" si="9">W8/W$29</f>
        <v>0.19810507377009143</v>
      </c>
      <c r="Y8" s="123">
        <f>'E. Output'!I8</f>
        <v>285203.93245399999</v>
      </c>
      <c r="Z8" s="154">
        <f t="shared" ref="Z8:Z29" si="10">Y8/Y$29</f>
        <v>0.20175729831183786</v>
      </c>
      <c r="AA8" s="123">
        <f>'E. Output'!K8</f>
        <v>293760.05042762001</v>
      </c>
      <c r="AB8" s="122">
        <f t="shared" ref="AB8:AB29" si="11">AA8/AA$29</f>
        <v>0.20545494019868796</v>
      </c>
      <c r="AC8" s="10">
        <v>0</v>
      </c>
      <c r="AD8" s="15" t="e">
        <f t="shared" ref="AD8:AD29" si="12">AC8/AC$29</f>
        <v>#DIV/0!</v>
      </c>
      <c r="AE8" s="10">
        <v>0</v>
      </c>
      <c r="AF8" s="15" t="e">
        <f t="shared" ref="AF8:AF29" si="13">AE8/AE$29</f>
        <v>#DIV/0!</v>
      </c>
      <c r="AG8" s="10">
        <v>0</v>
      </c>
      <c r="AH8" s="15" t="e">
        <f t="shared" ref="AH8:AH29" si="14">AG8/AG$29</f>
        <v>#DIV/0!</v>
      </c>
      <c r="AI8" s="10">
        <v>0</v>
      </c>
      <c r="AJ8" s="15" t="e">
        <f t="shared" ref="AJ8:AJ29" si="15">AI8/AI$29</f>
        <v>#DIV/0!</v>
      </c>
      <c r="AK8" s="10">
        <v>0</v>
      </c>
      <c r="AL8" s="15" t="e">
        <f t="shared" ref="AL8:AL29" si="16">AK8/AK$29</f>
        <v>#DIV/0!</v>
      </c>
      <c r="AM8" s="10">
        <v>0</v>
      </c>
      <c r="AN8" s="15" t="e">
        <f t="shared" ref="AN8:AN29" si="17">AM8/AM$29</f>
        <v>#DIV/0!</v>
      </c>
    </row>
    <row r="9" spans="1:40" ht="15" customHeight="1" thickBot="1" x14ac:dyDescent="0.25">
      <c r="A9" s="34"/>
      <c r="B9" s="34" t="s">
        <v>13</v>
      </c>
      <c r="C9" s="214">
        <v>200</v>
      </c>
      <c r="D9" s="154">
        <f t="shared" si="0"/>
        <v>1.6311657044148315E-4</v>
      </c>
      <c r="E9" s="214">
        <v>0</v>
      </c>
      <c r="F9" s="154">
        <f t="shared" si="1"/>
        <v>0</v>
      </c>
      <c r="G9" s="121">
        <v>3993</v>
      </c>
      <c r="H9" s="154">
        <f t="shared" si="2"/>
        <v>3.1464010231122184E-3</v>
      </c>
      <c r="I9" s="121">
        <v>500</v>
      </c>
      <c r="J9" s="154">
        <f t="shared" si="3"/>
        <v>3.8517596378729658E-4</v>
      </c>
      <c r="K9" s="121">
        <v>0</v>
      </c>
      <c r="L9" s="154">
        <f t="shared" si="4"/>
        <v>0</v>
      </c>
      <c r="M9" s="121">
        <v>0</v>
      </c>
      <c r="N9" s="154">
        <f t="shared" si="5"/>
        <v>0</v>
      </c>
      <c r="O9" s="121">
        <v>0</v>
      </c>
      <c r="P9" s="154">
        <f t="shared" si="6"/>
        <v>0</v>
      </c>
      <c r="Q9" s="34"/>
      <c r="R9" s="34" t="s">
        <v>13</v>
      </c>
      <c r="S9" s="123">
        <f>'E. Output'!C9</f>
        <v>0</v>
      </c>
      <c r="T9" s="154">
        <f t="shared" si="7"/>
        <v>0</v>
      </c>
      <c r="U9" s="123">
        <f>'E. Output'!E9</f>
        <v>0</v>
      </c>
      <c r="V9" s="154">
        <f t="shared" si="8"/>
        <v>0</v>
      </c>
      <c r="W9" s="123">
        <f>'E. Output'!G9</f>
        <v>0</v>
      </c>
      <c r="X9" s="154">
        <f t="shared" si="9"/>
        <v>0</v>
      </c>
      <c r="Y9" s="123">
        <f>'E. Output'!I9</f>
        <v>0</v>
      </c>
      <c r="Z9" s="154">
        <f t="shared" si="10"/>
        <v>0</v>
      </c>
      <c r="AA9" s="123">
        <f>'E. Output'!K9</f>
        <v>0</v>
      </c>
      <c r="AB9" s="122">
        <f t="shared" si="11"/>
        <v>0</v>
      </c>
      <c r="AC9" s="10">
        <v>0</v>
      </c>
      <c r="AD9" s="15" t="e">
        <f t="shared" si="12"/>
        <v>#DIV/0!</v>
      </c>
      <c r="AE9" s="10">
        <v>0</v>
      </c>
      <c r="AF9" s="15" t="e">
        <f t="shared" si="13"/>
        <v>#DIV/0!</v>
      </c>
      <c r="AG9" s="10">
        <v>0</v>
      </c>
      <c r="AH9" s="15" t="e">
        <f t="shared" si="14"/>
        <v>#DIV/0!</v>
      </c>
      <c r="AI9" s="10">
        <v>0</v>
      </c>
      <c r="AJ9" s="15" t="e">
        <f t="shared" si="15"/>
        <v>#DIV/0!</v>
      </c>
      <c r="AK9" s="10">
        <v>0</v>
      </c>
      <c r="AL9" s="15" t="e">
        <f t="shared" si="16"/>
        <v>#DIV/0!</v>
      </c>
      <c r="AM9" s="10">
        <v>0</v>
      </c>
      <c r="AN9" s="15" t="e">
        <f t="shared" si="17"/>
        <v>#DIV/0!</v>
      </c>
    </row>
    <row r="10" spans="1:40" ht="15" customHeight="1" thickBot="1" x14ac:dyDescent="0.25">
      <c r="A10" s="34"/>
      <c r="B10" s="34" t="s">
        <v>16</v>
      </c>
      <c r="C10" s="214">
        <v>140225</v>
      </c>
      <c r="D10" s="154">
        <f t="shared" si="0"/>
        <v>0.11436510545078488</v>
      </c>
      <c r="E10" s="214">
        <v>104316</v>
      </c>
      <c r="F10" s="154">
        <f t="shared" si="1"/>
        <v>8.6937969313853766E-2</v>
      </c>
      <c r="G10" s="121">
        <f>122126+2590</f>
        <v>124716</v>
      </c>
      <c r="H10" s="154">
        <f t="shared" si="2"/>
        <v>9.8273616328190191E-2</v>
      </c>
      <c r="I10" s="121">
        <v>107607</v>
      </c>
      <c r="J10" s="154">
        <f t="shared" si="3"/>
        <v>8.2895259870519253E-2</v>
      </c>
      <c r="K10" s="121">
        <v>78513</v>
      </c>
      <c r="L10" s="154">
        <f t="shared" si="4"/>
        <v>6.1204158075467432E-2</v>
      </c>
      <c r="M10" s="121">
        <v>57266</v>
      </c>
      <c r="N10" s="154">
        <f t="shared" si="5"/>
        <v>4.8180424609658296E-2</v>
      </c>
      <c r="O10" s="121">
        <v>45900</v>
      </c>
      <c r="P10" s="154">
        <f t="shared" si="6"/>
        <v>4.6280891739012071E-2</v>
      </c>
      <c r="Q10" s="34"/>
      <c r="R10" s="34" t="s">
        <v>16</v>
      </c>
      <c r="S10" s="123">
        <f>'E. Output'!C10</f>
        <v>47277</v>
      </c>
      <c r="T10" s="154">
        <f t="shared" si="7"/>
        <v>3.4292794421399965E-2</v>
      </c>
      <c r="U10" s="123">
        <f>'E. Output'!E10</f>
        <v>48695.31</v>
      </c>
      <c r="V10" s="154">
        <f t="shared" si="8"/>
        <v>3.5362048402044571E-2</v>
      </c>
      <c r="W10" s="123">
        <f>'E. Output'!G10</f>
        <v>50156.169300000001</v>
      </c>
      <c r="X10" s="154">
        <f t="shared" si="9"/>
        <v>3.5884068216445138E-2</v>
      </c>
      <c r="Y10" s="123">
        <f>'E. Output'!I10</f>
        <v>51660.854379000004</v>
      </c>
      <c r="Z10" s="154">
        <f t="shared" si="10"/>
        <v>3.6545619544251617E-2</v>
      </c>
      <c r="AA10" s="123">
        <f>'E. Output'!K10</f>
        <v>53210.680010370008</v>
      </c>
      <c r="AB10" s="122">
        <f t="shared" si="11"/>
        <v>3.7215397612943089E-2</v>
      </c>
      <c r="AC10" s="10">
        <v>0</v>
      </c>
      <c r="AD10" s="15" t="e">
        <f t="shared" si="12"/>
        <v>#DIV/0!</v>
      </c>
      <c r="AE10" s="10">
        <v>0</v>
      </c>
      <c r="AF10" s="15" t="e">
        <f t="shared" si="13"/>
        <v>#DIV/0!</v>
      </c>
      <c r="AG10" s="10">
        <v>0</v>
      </c>
      <c r="AH10" s="15" t="e">
        <f t="shared" si="14"/>
        <v>#DIV/0!</v>
      </c>
      <c r="AI10" s="10">
        <v>0</v>
      </c>
      <c r="AJ10" s="15" t="e">
        <f t="shared" si="15"/>
        <v>#DIV/0!</v>
      </c>
      <c r="AK10" s="10">
        <v>0</v>
      </c>
      <c r="AL10" s="15" t="e">
        <f t="shared" si="16"/>
        <v>#DIV/0!</v>
      </c>
      <c r="AM10" s="10">
        <v>0</v>
      </c>
      <c r="AN10" s="15" t="e">
        <f t="shared" si="17"/>
        <v>#DIV/0!</v>
      </c>
    </row>
    <row r="11" spans="1:40" ht="15" customHeight="1" thickBot="1" x14ac:dyDescent="0.25">
      <c r="A11" s="34"/>
      <c r="B11" s="34" t="s">
        <v>17</v>
      </c>
      <c r="C11" s="214">
        <v>174</v>
      </c>
      <c r="D11" s="154">
        <f t="shared" si="0"/>
        <v>1.4191141628409033E-4</v>
      </c>
      <c r="E11" s="214">
        <v>50337</v>
      </c>
      <c r="F11" s="154">
        <f t="shared" si="1"/>
        <v>4.1951345540007831E-2</v>
      </c>
      <c r="G11" s="121">
        <v>1919</v>
      </c>
      <c r="H11" s="154">
        <f t="shared" si="2"/>
        <v>1.5121321220516772E-3</v>
      </c>
      <c r="I11" s="121">
        <v>38823</v>
      </c>
      <c r="J11" s="154">
        <f t="shared" si="3"/>
        <v>2.9907372884228432E-2</v>
      </c>
      <c r="K11" s="121">
        <v>110000</v>
      </c>
      <c r="L11" s="154">
        <f t="shared" si="4"/>
        <v>8.5749587817322198E-2</v>
      </c>
      <c r="M11" s="121">
        <v>0</v>
      </c>
      <c r="N11" s="154">
        <f t="shared" si="5"/>
        <v>0</v>
      </c>
      <c r="O11" s="121">
        <v>0</v>
      </c>
      <c r="P11" s="154">
        <f t="shared" si="6"/>
        <v>0</v>
      </c>
      <c r="Q11" s="34"/>
      <c r="R11" s="34" t="s">
        <v>17</v>
      </c>
      <c r="S11" s="123">
        <f>'E. Output'!C11</f>
        <v>0</v>
      </c>
      <c r="T11" s="154">
        <f t="shared" si="7"/>
        <v>0</v>
      </c>
      <c r="U11" s="123">
        <f>'E. Output'!E11</f>
        <v>0</v>
      </c>
      <c r="V11" s="154">
        <f t="shared" si="8"/>
        <v>0</v>
      </c>
      <c r="W11" s="123">
        <f>'E. Output'!G11</f>
        <v>0</v>
      </c>
      <c r="X11" s="154">
        <f t="shared" si="9"/>
        <v>0</v>
      </c>
      <c r="Y11" s="123">
        <f>'E. Output'!I11</f>
        <v>0</v>
      </c>
      <c r="Z11" s="154">
        <f t="shared" si="10"/>
        <v>0</v>
      </c>
      <c r="AA11" s="123">
        <f>'E. Output'!K11</f>
        <v>0</v>
      </c>
      <c r="AB11" s="122">
        <f t="shared" si="11"/>
        <v>0</v>
      </c>
      <c r="AC11" s="10">
        <v>0</v>
      </c>
      <c r="AD11" s="15" t="e">
        <f t="shared" si="12"/>
        <v>#DIV/0!</v>
      </c>
      <c r="AE11" s="10">
        <v>0</v>
      </c>
      <c r="AF11" s="15" t="e">
        <f t="shared" si="13"/>
        <v>#DIV/0!</v>
      </c>
      <c r="AG11" s="10">
        <v>0</v>
      </c>
      <c r="AH11" s="15" t="e">
        <f t="shared" si="14"/>
        <v>#DIV/0!</v>
      </c>
      <c r="AI11" s="10">
        <v>0</v>
      </c>
      <c r="AJ11" s="15" t="e">
        <f t="shared" si="15"/>
        <v>#DIV/0!</v>
      </c>
      <c r="AK11" s="10">
        <v>0</v>
      </c>
      <c r="AL11" s="15" t="e">
        <f t="shared" si="16"/>
        <v>#DIV/0!</v>
      </c>
      <c r="AM11" s="10">
        <v>0</v>
      </c>
      <c r="AN11" s="15" t="e">
        <f t="shared" si="17"/>
        <v>#DIV/0!</v>
      </c>
    </row>
    <row r="12" spans="1:40" ht="15" customHeight="1" thickBot="1" x14ac:dyDescent="0.25">
      <c r="A12" s="34"/>
      <c r="B12" s="34" t="s">
        <v>14</v>
      </c>
      <c r="C12" s="214">
        <v>87925</v>
      </c>
      <c r="D12" s="154">
        <f t="shared" si="0"/>
        <v>7.1710122280337033E-2</v>
      </c>
      <c r="E12" s="214">
        <v>91632</v>
      </c>
      <c r="F12" s="154">
        <f t="shared" si="1"/>
        <v>7.6367000308361604E-2</v>
      </c>
      <c r="G12" s="121">
        <v>138718</v>
      </c>
      <c r="H12" s="154">
        <f t="shared" si="2"/>
        <v>0.10930690135839738</v>
      </c>
      <c r="I12" s="121">
        <v>127316</v>
      </c>
      <c r="J12" s="154">
        <f t="shared" si="3"/>
        <v>9.8078126011086911E-2</v>
      </c>
      <c r="K12" s="121">
        <v>147854</v>
      </c>
      <c r="L12" s="154">
        <f t="shared" si="4"/>
        <v>0.11525835961038505</v>
      </c>
      <c r="M12" s="121">
        <v>132381</v>
      </c>
      <c r="N12" s="154">
        <f t="shared" si="5"/>
        <v>0.11137800423027931</v>
      </c>
      <c r="O12" s="121">
        <v>183000</v>
      </c>
      <c r="P12" s="154">
        <f t="shared" si="6"/>
        <v>0.18451858797906773</v>
      </c>
      <c r="Q12" s="34"/>
      <c r="R12" s="34" t="s">
        <v>14</v>
      </c>
      <c r="S12" s="123">
        <f>'E. Output'!C12</f>
        <v>183000</v>
      </c>
      <c r="T12" s="154">
        <f t="shared" si="7"/>
        <v>0.13274068530397856</v>
      </c>
      <c r="U12" s="123">
        <f>'E. Output'!E12</f>
        <v>183000</v>
      </c>
      <c r="V12" s="154">
        <f t="shared" si="8"/>
        <v>0.13289277463423391</v>
      </c>
      <c r="W12" s="123">
        <f>'E. Output'!G12</f>
        <v>183000</v>
      </c>
      <c r="X12" s="154">
        <f t="shared" si="9"/>
        <v>0.13092675487897476</v>
      </c>
      <c r="Y12" s="123">
        <f>'E. Output'!I12</f>
        <v>183000</v>
      </c>
      <c r="Z12" s="154">
        <f t="shared" si="10"/>
        <v>0.12945679000068255</v>
      </c>
      <c r="AA12" s="123">
        <f>'E. Output'!K12</f>
        <v>183000</v>
      </c>
      <c r="AB12" s="122">
        <f t="shared" si="11"/>
        <v>0.12798967729488386</v>
      </c>
      <c r="AC12" s="10">
        <v>0</v>
      </c>
      <c r="AD12" s="15" t="e">
        <f t="shared" si="12"/>
        <v>#DIV/0!</v>
      </c>
      <c r="AE12" s="10">
        <v>0</v>
      </c>
      <c r="AF12" s="15" t="e">
        <f t="shared" si="13"/>
        <v>#DIV/0!</v>
      </c>
      <c r="AG12" s="10">
        <v>0</v>
      </c>
      <c r="AH12" s="15" t="e">
        <f t="shared" si="14"/>
        <v>#DIV/0!</v>
      </c>
      <c r="AI12" s="10">
        <v>0</v>
      </c>
      <c r="AJ12" s="15" t="e">
        <f t="shared" si="15"/>
        <v>#DIV/0!</v>
      </c>
      <c r="AK12" s="10">
        <v>0</v>
      </c>
      <c r="AL12" s="15" t="e">
        <f t="shared" si="16"/>
        <v>#DIV/0!</v>
      </c>
      <c r="AM12" s="10">
        <v>0</v>
      </c>
      <c r="AN12" s="15" t="e">
        <f t="shared" si="17"/>
        <v>#DIV/0!</v>
      </c>
    </row>
    <row r="13" spans="1:40" ht="15" customHeight="1" thickBot="1" x14ac:dyDescent="0.25">
      <c r="A13" s="34"/>
      <c r="B13" s="34" t="s">
        <v>18</v>
      </c>
      <c r="C13" s="214">
        <v>0</v>
      </c>
      <c r="D13" s="154">
        <f t="shared" si="0"/>
        <v>0</v>
      </c>
      <c r="E13" s="214">
        <v>1250</v>
      </c>
      <c r="F13" s="154">
        <f t="shared" si="1"/>
        <v>1.0417621615314736E-3</v>
      </c>
      <c r="G13" s="121">
        <v>1336</v>
      </c>
      <c r="H13" s="154">
        <f t="shared" si="2"/>
        <v>1.0527402371344663E-3</v>
      </c>
      <c r="I13" s="121">
        <v>27653</v>
      </c>
      <c r="J13" s="154">
        <f t="shared" si="3"/>
        <v>2.1302541853220225E-2</v>
      </c>
      <c r="K13" s="121">
        <f>7460+2</f>
        <v>7462</v>
      </c>
      <c r="L13" s="154">
        <f t="shared" si="4"/>
        <v>5.8169402208441655E-3</v>
      </c>
      <c r="M13" s="121">
        <v>700</v>
      </c>
      <c r="N13" s="154">
        <f t="shared" si="5"/>
        <v>5.8894103354103318E-4</v>
      </c>
      <c r="O13" s="121">
        <v>76000</v>
      </c>
      <c r="P13" s="154">
        <f t="shared" si="6"/>
        <v>7.6630670417536323E-2</v>
      </c>
      <c r="Q13" s="34"/>
      <c r="R13" s="34" t="s">
        <v>18</v>
      </c>
      <c r="S13" s="124">
        <f>'E. Output'!C13</f>
        <v>76000</v>
      </c>
      <c r="T13" s="154">
        <f t="shared" si="7"/>
        <v>5.5127279142635897E-2</v>
      </c>
      <c r="U13" s="124">
        <f>'E. Output'!E13</f>
        <v>76000</v>
      </c>
      <c r="V13" s="154">
        <f t="shared" si="8"/>
        <v>5.5190441924599876E-2</v>
      </c>
      <c r="W13" s="124">
        <f>'E. Output'!G13</f>
        <v>76000</v>
      </c>
      <c r="X13" s="154">
        <f t="shared" si="9"/>
        <v>5.4373952845913023E-2</v>
      </c>
      <c r="Y13" s="124">
        <f>'E. Output'!I13</f>
        <v>76000</v>
      </c>
      <c r="Z13" s="154">
        <f t="shared" si="10"/>
        <v>5.3763475628698772E-2</v>
      </c>
      <c r="AA13" s="124">
        <f>'E. Output'!K13</f>
        <v>76000</v>
      </c>
      <c r="AB13" s="122">
        <f t="shared" si="11"/>
        <v>5.3154182920279638E-2</v>
      </c>
      <c r="AC13" s="10">
        <v>0</v>
      </c>
      <c r="AD13" s="15" t="e">
        <f t="shared" si="12"/>
        <v>#DIV/0!</v>
      </c>
      <c r="AE13" s="10">
        <v>0</v>
      </c>
      <c r="AF13" s="15" t="e">
        <f t="shared" si="13"/>
        <v>#DIV/0!</v>
      </c>
      <c r="AG13" s="10">
        <v>0</v>
      </c>
      <c r="AH13" s="15" t="e">
        <f t="shared" si="14"/>
        <v>#DIV/0!</v>
      </c>
      <c r="AI13" s="10">
        <v>0</v>
      </c>
      <c r="AJ13" s="15" t="e">
        <f t="shared" si="15"/>
        <v>#DIV/0!</v>
      </c>
      <c r="AK13" s="10">
        <v>0</v>
      </c>
      <c r="AL13" s="15" t="e">
        <f t="shared" si="16"/>
        <v>#DIV/0!</v>
      </c>
      <c r="AM13" s="10">
        <v>0</v>
      </c>
      <c r="AN13" s="15" t="e">
        <f t="shared" si="17"/>
        <v>#DIV/0!</v>
      </c>
    </row>
    <row r="14" spans="1:40" ht="15" customHeight="1" x14ac:dyDescent="0.2">
      <c r="A14" s="34"/>
      <c r="B14" s="125" t="s">
        <v>33</v>
      </c>
      <c r="C14" s="139">
        <f>SUM(C8:C13)</f>
        <v>529424</v>
      </c>
      <c r="D14" s="155">
        <f t="shared" si="0"/>
        <v>0.43178913594705887</v>
      </c>
      <c r="E14" s="139">
        <f>SUM(E8:E13)</f>
        <v>551970</v>
      </c>
      <c r="F14" s="155">
        <f t="shared" si="1"/>
        <v>0.46001716824042205</v>
      </c>
      <c r="G14" s="139">
        <f>SUM(G8:G13)</f>
        <v>517796</v>
      </c>
      <c r="H14" s="155">
        <f t="shared" si="2"/>
        <v>0.40801248789466926</v>
      </c>
      <c r="I14" s="139">
        <f>SUM(I8:I13)</f>
        <v>559412</v>
      </c>
      <c r="J14" s="155">
        <f t="shared" si="3"/>
        <v>0.43094411250835835</v>
      </c>
      <c r="K14" s="139">
        <f>SUM(K8:K13)</f>
        <v>559886</v>
      </c>
      <c r="L14" s="155">
        <f t="shared" si="4"/>
        <v>0.43645448840626594</v>
      </c>
      <c r="M14" s="139">
        <f>SUM(M8:M13)</f>
        <v>457520</v>
      </c>
      <c r="N14" s="155">
        <f t="shared" si="5"/>
        <v>0.38493185952241932</v>
      </c>
      <c r="O14" s="139">
        <f>SUM(O8:O13)</f>
        <v>558300</v>
      </c>
      <c r="P14" s="155">
        <f t="shared" si="6"/>
        <v>0.56293293808040168</v>
      </c>
      <c r="Q14" s="34"/>
      <c r="R14" s="125" t="s">
        <v>33</v>
      </c>
      <c r="S14" s="126">
        <f>SUM(S8:S13)</f>
        <v>567279</v>
      </c>
      <c r="T14" s="155">
        <f t="shared" si="7"/>
        <v>0.41148089190467568</v>
      </c>
      <c r="U14" s="126">
        <f>SUM(U8:U13)</f>
        <v>576527.37</v>
      </c>
      <c r="V14" s="155">
        <f t="shared" si="8"/>
        <v>0.41866842542009608</v>
      </c>
      <c r="W14" s="126">
        <f>SUM(W8:W13)</f>
        <v>586053.19109999994</v>
      </c>
      <c r="X14" s="155">
        <f t="shared" si="9"/>
        <v>0.4192898497114243</v>
      </c>
      <c r="Y14" s="126">
        <f>SUM(Y8:Y13)</f>
        <v>595864.78683300002</v>
      </c>
      <c r="Z14" s="155">
        <f t="shared" si="10"/>
        <v>0.42152318348547085</v>
      </c>
      <c r="AA14" s="126">
        <f>SUM(AA8:AA13)</f>
        <v>605970.73043799005</v>
      </c>
      <c r="AB14" s="127">
        <f t="shared" si="11"/>
        <v>0.4238141980267946</v>
      </c>
      <c r="AC14" s="8">
        <f>SUM(AC8:AC13)</f>
        <v>0</v>
      </c>
      <c r="AD14" s="16" t="e">
        <f t="shared" si="12"/>
        <v>#DIV/0!</v>
      </c>
      <c r="AE14" s="8">
        <f>SUM(AE8:AE13)</f>
        <v>0</v>
      </c>
      <c r="AF14" s="16" t="e">
        <f t="shared" si="13"/>
        <v>#DIV/0!</v>
      </c>
      <c r="AG14" s="8">
        <f>SUM(AG8:AG13)</f>
        <v>0</v>
      </c>
      <c r="AH14" s="16" t="e">
        <f t="shared" si="14"/>
        <v>#DIV/0!</v>
      </c>
      <c r="AI14" s="8">
        <f>SUM(AI8:AI13)</f>
        <v>0</v>
      </c>
      <c r="AJ14" s="16" t="e">
        <f t="shared" si="15"/>
        <v>#DIV/0!</v>
      </c>
      <c r="AK14" s="8">
        <f>SUM(AK8:AK13)</f>
        <v>0</v>
      </c>
      <c r="AL14" s="16" t="e">
        <f t="shared" si="16"/>
        <v>#DIV/0!</v>
      </c>
      <c r="AM14" s="8">
        <f>SUM(AM8:AM13)</f>
        <v>0</v>
      </c>
      <c r="AN14" s="16" t="e">
        <f t="shared" si="17"/>
        <v>#DIV/0!</v>
      </c>
    </row>
    <row r="15" spans="1:40" ht="15" customHeight="1" thickBot="1" x14ac:dyDescent="0.25">
      <c r="A15" s="34"/>
      <c r="B15" s="34" t="s">
        <v>19</v>
      </c>
      <c r="C15" s="214">
        <v>58201</v>
      </c>
      <c r="D15" s="154">
        <f t="shared" si="0"/>
        <v>4.7467737581323804E-2</v>
      </c>
      <c r="E15" s="214">
        <v>33527</v>
      </c>
      <c r="F15" s="154">
        <f t="shared" si="1"/>
        <v>2.7941727991732574E-2</v>
      </c>
      <c r="G15" s="121">
        <v>21404</v>
      </c>
      <c r="H15" s="154">
        <f t="shared" si="2"/>
        <v>1.6865907212294997E-2</v>
      </c>
      <c r="I15" s="121">
        <v>18243</v>
      </c>
      <c r="J15" s="154">
        <f t="shared" si="3"/>
        <v>1.4053530214743303E-2</v>
      </c>
      <c r="K15" s="121">
        <v>21971</v>
      </c>
      <c r="L15" s="154">
        <f t="shared" si="4"/>
        <v>1.7127310853948963E-2</v>
      </c>
      <c r="M15" s="121">
        <v>13944</v>
      </c>
      <c r="N15" s="154">
        <f t="shared" si="5"/>
        <v>1.1731705388137382E-2</v>
      </c>
      <c r="O15" s="121">
        <v>12000</v>
      </c>
      <c r="P15" s="154">
        <f t="shared" si="6"/>
        <v>1.2099579539610999E-2</v>
      </c>
      <c r="Q15" s="34"/>
      <c r="R15" s="34" t="s">
        <v>19</v>
      </c>
      <c r="S15" s="123">
        <f>'E. Output'!C15</f>
        <v>12000</v>
      </c>
      <c r="T15" s="154">
        <f t="shared" si="7"/>
        <v>8.7043072330477735E-3</v>
      </c>
      <c r="U15" s="123">
        <f>'E. Output'!E15</f>
        <v>12000</v>
      </c>
      <c r="V15" s="154">
        <f t="shared" si="8"/>
        <v>8.71428030388419E-3</v>
      </c>
      <c r="W15" s="123">
        <f>'E. Output'!G15</f>
        <v>12000</v>
      </c>
      <c r="X15" s="154">
        <f t="shared" si="9"/>
        <v>8.5853609756704769E-3</v>
      </c>
      <c r="Y15" s="123">
        <f>'E. Output'!I15</f>
        <v>12000</v>
      </c>
      <c r="Z15" s="154">
        <f t="shared" si="10"/>
        <v>8.4889698361103327E-3</v>
      </c>
      <c r="AA15" s="123">
        <f>'E. Output'!K15</f>
        <v>12000</v>
      </c>
      <c r="AB15" s="122">
        <f t="shared" si="11"/>
        <v>8.3927657242546805E-3</v>
      </c>
      <c r="AC15" s="10">
        <v>0</v>
      </c>
      <c r="AD15" s="15" t="e">
        <f t="shared" si="12"/>
        <v>#DIV/0!</v>
      </c>
      <c r="AE15" s="10">
        <v>0</v>
      </c>
      <c r="AF15" s="15" t="e">
        <f t="shared" si="13"/>
        <v>#DIV/0!</v>
      </c>
      <c r="AG15" s="10">
        <v>0</v>
      </c>
      <c r="AH15" s="15" t="e">
        <f t="shared" si="14"/>
        <v>#DIV/0!</v>
      </c>
      <c r="AI15" s="10">
        <v>0</v>
      </c>
      <c r="AJ15" s="15" t="e">
        <f t="shared" si="15"/>
        <v>#DIV/0!</v>
      </c>
      <c r="AK15" s="10">
        <v>0</v>
      </c>
      <c r="AL15" s="15" t="e">
        <f t="shared" si="16"/>
        <v>#DIV/0!</v>
      </c>
      <c r="AM15" s="10">
        <v>0</v>
      </c>
      <c r="AN15" s="15" t="e">
        <f t="shared" si="17"/>
        <v>#DIV/0!</v>
      </c>
    </row>
    <row r="16" spans="1:40" ht="15" customHeight="1" x14ac:dyDescent="0.2">
      <c r="A16" s="34"/>
      <c r="B16" s="34" t="s">
        <v>28</v>
      </c>
      <c r="C16" s="215">
        <v>33680</v>
      </c>
      <c r="D16" s="154">
        <f t="shared" si="0"/>
        <v>2.7468830462345762E-2</v>
      </c>
      <c r="E16" s="215">
        <v>28887</v>
      </c>
      <c r="F16" s="154">
        <f t="shared" si="1"/>
        <v>2.4074706848127746E-2</v>
      </c>
      <c r="G16" s="128">
        <v>25463</v>
      </c>
      <c r="H16" s="154">
        <f t="shared" si="2"/>
        <v>2.0064314863888408E-2</v>
      </c>
      <c r="I16" s="128">
        <v>24191</v>
      </c>
      <c r="J16" s="154">
        <f t="shared" si="3"/>
        <v>1.8635583479956985E-2</v>
      </c>
      <c r="K16" s="128">
        <v>22640</v>
      </c>
      <c r="L16" s="154">
        <f t="shared" si="4"/>
        <v>1.7648824256219768E-2</v>
      </c>
      <c r="M16" s="128">
        <v>19616</v>
      </c>
      <c r="N16" s="154">
        <f t="shared" si="5"/>
        <v>1.6503810448487012E-2</v>
      </c>
      <c r="O16" s="128">
        <v>20400</v>
      </c>
      <c r="P16" s="154">
        <f t="shared" si="6"/>
        <v>2.0569285217338699E-2</v>
      </c>
      <c r="Q16" s="34"/>
      <c r="R16" s="34" t="s">
        <v>28</v>
      </c>
      <c r="S16" s="124">
        <f>'E. Output'!C16</f>
        <v>20400</v>
      </c>
      <c r="T16" s="154">
        <f t="shared" si="7"/>
        <v>1.4797322296181215E-2</v>
      </c>
      <c r="U16" s="124">
        <f>'E. Output'!E16</f>
        <v>20400</v>
      </c>
      <c r="V16" s="154">
        <f t="shared" si="8"/>
        <v>1.4814276516603124E-2</v>
      </c>
      <c r="W16" s="124">
        <f>'E. Output'!G16</f>
        <v>20400</v>
      </c>
      <c r="X16" s="154">
        <f t="shared" si="9"/>
        <v>1.4595113658639811E-2</v>
      </c>
      <c r="Y16" s="124">
        <f>'E. Output'!I16</f>
        <v>20400</v>
      </c>
      <c r="Z16" s="154">
        <f t="shared" si="10"/>
        <v>1.4431248721387565E-2</v>
      </c>
      <c r="AA16" s="124">
        <f>'E. Output'!K16</f>
        <v>20400</v>
      </c>
      <c r="AB16" s="122">
        <f t="shared" si="11"/>
        <v>1.4267701731232955E-2</v>
      </c>
      <c r="AC16" s="11">
        <v>0</v>
      </c>
      <c r="AD16" s="15" t="e">
        <f t="shared" si="12"/>
        <v>#DIV/0!</v>
      </c>
      <c r="AE16" s="11">
        <v>0</v>
      </c>
      <c r="AF16" s="15" t="e">
        <f t="shared" si="13"/>
        <v>#DIV/0!</v>
      </c>
      <c r="AG16" s="11">
        <v>0</v>
      </c>
      <c r="AH16" s="15" t="e">
        <f t="shared" si="14"/>
        <v>#DIV/0!</v>
      </c>
      <c r="AI16" s="11">
        <v>0</v>
      </c>
      <c r="AJ16" s="15" t="e">
        <f t="shared" si="15"/>
        <v>#DIV/0!</v>
      </c>
      <c r="AK16" s="11">
        <v>0</v>
      </c>
      <c r="AL16" s="15" t="e">
        <f t="shared" si="16"/>
        <v>#DIV/0!</v>
      </c>
      <c r="AM16" s="11">
        <v>0</v>
      </c>
      <c r="AN16" s="15" t="e">
        <f t="shared" si="17"/>
        <v>#DIV/0!</v>
      </c>
    </row>
    <row r="17" spans="1:44" s="7" customFormat="1" ht="15" customHeight="1" x14ac:dyDescent="0.2">
      <c r="A17" s="35"/>
      <c r="B17" s="125" t="s">
        <v>34</v>
      </c>
      <c r="C17" s="139">
        <f>SUM(C15:C16)</f>
        <v>91881</v>
      </c>
      <c r="D17" s="155">
        <f t="shared" si="0"/>
        <v>7.4936568043669563E-2</v>
      </c>
      <c r="E17" s="139">
        <f>SUM(E15:E16)</f>
        <v>62414</v>
      </c>
      <c r="F17" s="155">
        <f t="shared" si="1"/>
        <v>5.201643483986032E-2</v>
      </c>
      <c r="G17" s="139">
        <f>SUM(G15:G16)</f>
        <v>46867</v>
      </c>
      <c r="H17" s="155">
        <f t="shared" si="2"/>
        <v>3.6930222076183405E-2</v>
      </c>
      <c r="I17" s="139">
        <f>SUM(I15:I16)</f>
        <v>42434</v>
      </c>
      <c r="J17" s="155">
        <f t="shared" si="3"/>
        <v>3.2689113694700289E-2</v>
      </c>
      <c r="K17" s="139">
        <f>SUM(K15:K16)</f>
        <v>44611</v>
      </c>
      <c r="L17" s="155">
        <f t="shared" si="4"/>
        <v>3.4776135110168735E-2</v>
      </c>
      <c r="M17" s="139">
        <f>SUM(M15:M16)</f>
        <v>33560</v>
      </c>
      <c r="N17" s="155">
        <f t="shared" si="5"/>
        <v>2.8235515836624391E-2</v>
      </c>
      <c r="O17" s="139">
        <f>SUM(O15:O16)</f>
        <v>32400</v>
      </c>
      <c r="P17" s="155">
        <f t="shared" si="6"/>
        <v>3.2668864756949696E-2</v>
      </c>
      <c r="Q17" s="35"/>
      <c r="R17" s="125" t="s">
        <v>34</v>
      </c>
      <c r="S17" s="126">
        <f>SUM(S15:S16)</f>
        <v>32400</v>
      </c>
      <c r="T17" s="155">
        <f t="shared" si="7"/>
        <v>2.350162952922899E-2</v>
      </c>
      <c r="U17" s="126">
        <f>SUM(U15:U16)</f>
        <v>32400</v>
      </c>
      <c r="V17" s="155">
        <f t="shared" si="8"/>
        <v>2.3528556820487316E-2</v>
      </c>
      <c r="W17" s="126">
        <f>SUM(W15:W16)</f>
        <v>32400</v>
      </c>
      <c r="X17" s="155">
        <f t="shared" si="9"/>
        <v>2.3180474634310288E-2</v>
      </c>
      <c r="Y17" s="126">
        <f>SUM(Y15:Y16)</f>
        <v>32400</v>
      </c>
      <c r="Z17" s="155">
        <f t="shared" si="10"/>
        <v>2.2920218557497898E-2</v>
      </c>
      <c r="AA17" s="126">
        <f>SUM(AA15:AA16)</f>
        <v>32400</v>
      </c>
      <c r="AB17" s="127">
        <f t="shared" si="11"/>
        <v>2.2660467455487637E-2</v>
      </c>
      <c r="AC17" s="8">
        <f>SUM(AC15:AC16)</f>
        <v>0</v>
      </c>
      <c r="AD17" s="16" t="e">
        <f t="shared" si="12"/>
        <v>#DIV/0!</v>
      </c>
      <c r="AE17" s="8">
        <f>SUM(AE15:AE16)</f>
        <v>0</v>
      </c>
      <c r="AF17" s="16" t="e">
        <f t="shared" si="13"/>
        <v>#DIV/0!</v>
      </c>
      <c r="AG17" s="8">
        <f>SUM(AG15:AG16)</f>
        <v>0</v>
      </c>
      <c r="AH17" s="16" t="e">
        <f t="shared" si="14"/>
        <v>#DIV/0!</v>
      </c>
      <c r="AI17" s="8">
        <f>SUM(AI15:AI16)</f>
        <v>0</v>
      </c>
      <c r="AJ17" s="16" t="e">
        <f t="shared" si="15"/>
        <v>#DIV/0!</v>
      </c>
      <c r="AK17" s="8">
        <f>SUM(AK15:AK16)</f>
        <v>0</v>
      </c>
      <c r="AL17" s="16" t="e">
        <f t="shared" si="16"/>
        <v>#DIV/0!</v>
      </c>
      <c r="AM17" s="8">
        <f>SUM(AM15:AM16)</f>
        <v>0</v>
      </c>
      <c r="AN17" s="16" t="e">
        <f t="shared" si="17"/>
        <v>#DIV/0!</v>
      </c>
    </row>
    <row r="18" spans="1:44" ht="15" customHeight="1" thickBot="1" x14ac:dyDescent="0.25">
      <c r="A18" s="34"/>
      <c r="B18" s="34" t="s">
        <v>20</v>
      </c>
      <c r="C18" s="214">
        <v>9440</v>
      </c>
      <c r="D18" s="154">
        <f t="shared" si="0"/>
        <v>7.6991021248380047E-3</v>
      </c>
      <c r="E18" s="214">
        <v>10332</v>
      </c>
      <c r="F18" s="154">
        <f t="shared" si="1"/>
        <v>8.6107893223545499E-3</v>
      </c>
      <c r="G18" s="121">
        <v>7382</v>
      </c>
      <c r="H18" s="154">
        <f t="shared" si="2"/>
        <v>5.8168625976995738E-3</v>
      </c>
      <c r="I18" s="121">
        <v>6843</v>
      </c>
      <c r="J18" s="154">
        <f t="shared" si="3"/>
        <v>5.271518240392941E-3</v>
      </c>
      <c r="K18" s="121">
        <v>10578</v>
      </c>
      <c r="L18" s="154">
        <f>K18/K$29</f>
        <v>8.2459921811966746E-3</v>
      </c>
      <c r="M18" s="121">
        <v>1652</v>
      </c>
      <c r="N18" s="154">
        <f t="shared" si="5"/>
        <v>1.3899008391568383E-3</v>
      </c>
      <c r="O18" s="121">
        <v>4320</v>
      </c>
      <c r="P18" s="154">
        <f t="shared" si="6"/>
        <v>4.3558486342599595E-3</v>
      </c>
      <c r="Q18" s="34"/>
      <c r="R18" s="34" t="s">
        <v>20</v>
      </c>
      <c r="S18" s="123">
        <f>'E. Output'!C18</f>
        <v>4320</v>
      </c>
      <c r="T18" s="154">
        <f t="shared" si="7"/>
        <v>3.1335506038971984E-3</v>
      </c>
      <c r="U18" s="123">
        <f>'E. Output'!E18</f>
        <v>4320</v>
      </c>
      <c r="V18" s="154">
        <f t="shared" si="8"/>
        <v>3.1371409093983085E-3</v>
      </c>
      <c r="W18" s="123">
        <f>'E. Output'!G18</f>
        <v>4320</v>
      </c>
      <c r="X18" s="154">
        <f t="shared" si="9"/>
        <v>3.0907299512413717E-3</v>
      </c>
      <c r="Y18" s="123">
        <f>'E. Output'!I18</f>
        <v>4320</v>
      </c>
      <c r="Z18" s="154">
        <f t="shared" si="10"/>
        <v>3.0560291409997193E-3</v>
      </c>
      <c r="AA18" s="123">
        <f>'E. Output'!K18</f>
        <v>4320</v>
      </c>
      <c r="AB18" s="122">
        <f t="shared" si="11"/>
        <v>3.0213956607316847E-3</v>
      </c>
      <c r="AC18" s="10">
        <v>0</v>
      </c>
      <c r="AD18" s="15" t="e">
        <f t="shared" si="12"/>
        <v>#DIV/0!</v>
      </c>
      <c r="AE18" s="10">
        <v>0</v>
      </c>
      <c r="AF18" s="15" t="e">
        <f t="shared" si="13"/>
        <v>#DIV/0!</v>
      </c>
      <c r="AG18" s="10">
        <v>0</v>
      </c>
      <c r="AH18" s="15" t="e">
        <f t="shared" si="14"/>
        <v>#DIV/0!</v>
      </c>
      <c r="AI18" s="10">
        <v>0</v>
      </c>
      <c r="AJ18" s="15" t="e">
        <f t="shared" si="15"/>
        <v>#DIV/0!</v>
      </c>
      <c r="AK18" s="10">
        <v>0</v>
      </c>
      <c r="AL18" s="15" t="e">
        <f t="shared" si="16"/>
        <v>#DIV/0!</v>
      </c>
      <c r="AM18" s="10">
        <v>0</v>
      </c>
      <c r="AN18" s="15" t="e">
        <f t="shared" si="17"/>
        <v>#DIV/0!</v>
      </c>
    </row>
    <row r="19" spans="1:44" ht="15" customHeight="1" thickBot="1" x14ac:dyDescent="0.25">
      <c r="A19" s="34"/>
      <c r="B19" s="34" t="s">
        <v>21</v>
      </c>
      <c r="C19" s="216">
        <v>139184</v>
      </c>
      <c r="D19" s="154">
        <f t="shared" si="0"/>
        <v>0.11351608370163696</v>
      </c>
      <c r="E19" s="216">
        <v>152679</v>
      </c>
      <c r="F19" s="154">
        <f t="shared" si="1"/>
        <v>0.12724416404837111</v>
      </c>
      <c r="G19" s="129">
        <v>185981</v>
      </c>
      <c r="H19" s="154">
        <f t="shared" si="2"/>
        <v>0.14654916320546796</v>
      </c>
      <c r="I19" s="129">
        <v>210885</v>
      </c>
      <c r="J19" s="154">
        <f t="shared" si="3"/>
        <v>0.16245566624656807</v>
      </c>
      <c r="K19" s="129">
        <v>237621</v>
      </c>
      <c r="L19" s="154">
        <f>K19/K$29</f>
        <v>0.18523548006127197</v>
      </c>
      <c r="M19" s="129">
        <v>251510</v>
      </c>
      <c r="N19" s="154">
        <f t="shared" si="5"/>
        <v>0.21160651335129324</v>
      </c>
      <c r="O19" s="129">
        <v>215500</v>
      </c>
      <c r="P19" s="154">
        <f t="shared" si="6"/>
        <v>0.21728828256551419</v>
      </c>
      <c r="Q19" s="34"/>
      <c r="R19" s="34" t="s">
        <v>21</v>
      </c>
      <c r="S19" s="123">
        <f>'E. Output'!C19</f>
        <v>215500</v>
      </c>
      <c r="T19" s="154">
        <f t="shared" si="7"/>
        <v>0.15631485072681628</v>
      </c>
      <c r="U19" s="123">
        <f>'E. Output'!E19</f>
        <v>215500</v>
      </c>
      <c r="V19" s="154">
        <f t="shared" si="8"/>
        <v>0.15649395045725359</v>
      </c>
      <c r="W19" s="123">
        <f>'E. Output'!G19</f>
        <v>215500</v>
      </c>
      <c r="X19" s="154">
        <f t="shared" si="9"/>
        <v>0.15417877418808232</v>
      </c>
      <c r="Y19" s="123">
        <f>'E. Output'!I19</f>
        <v>215500</v>
      </c>
      <c r="Z19" s="154">
        <f t="shared" si="10"/>
        <v>0.15244774997348137</v>
      </c>
      <c r="AA19" s="123">
        <f>'E. Output'!K19</f>
        <v>215500</v>
      </c>
      <c r="AB19" s="122">
        <f t="shared" si="11"/>
        <v>0.15072008446474031</v>
      </c>
      <c r="AC19" s="12">
        <v>0</v>
      </c>
      <c r="AD19" s="15" t="e">
        <f t="shared" si="12"/>
        <v>#DIV/0!</v>
      </c>
      <c r="AE19" s="12">
        <v>0</v>
      </c>
      <c r="AF19" s="15" t="e">
        <f t="shared" si="13"/>
        <v>#DIV/0!</v>
      </c>
      <c r="AG19" s="12">
        <v>0</v>
      </c>
      <c r="AH19" s="15" t="e">
        <f t="shared" si="14"/>
        <v>#DIV/0!</v>
      </c>
      <c r="AI19" s="12">
        <v>0</v>
      </c>
      <c r="AJ19" s="15" t="e">
        <f t="shared" si="15"/>
        <v>#DIV/0!</v>
      </c>
      <c r="AK19" s="12">
        <v>0</v>
      </c>
      <c r="AL19" s="15" t="e">
        <f t="shared" si="16"/>
        <v>#DIV/0!</v>
      </c>
      <c r="AM19" s="12">
        <v>0</v>
      </c>
      <c r="AN19" s="15" t="e">
        <f t="shared" si="17"/>
        <v>#DIV/0!</v>
      </c>
    </row>
    <row r="20" spans="1:44" ht="15" customHeight="1" thickBot="1" x14ac:dyDescent="0.25">
      <c r="A20" s="34"/>
      <c r="B20" s="34" t="s">
        <v>48</v>
      </c>
      <c r="C20" s="216">
        <f>62946-72</f>
        <v>62874</v>
      </c>
      <c r="D20" s="154">
        <f t="shared" si="0"/>
        <v>5.1278956249689062E-2</v>
      </c>
      <c r="E20" s="216">
        <v>103008</v>
      </c>
      <c r="F20" s="154">
        <f t="shared" si="1"/>
        <v>8.5847869388027243E-2</v>
      </c>
      <c r="G20" s="129">
        <f>77010</f>
        <v>77010</v>
      </c>
      <c r="H20" s="154">
        <f t="shared" si="2"/>
        <v>6.0682279686920096E-2</v>
      </c>
      <c r="I20" s="129">
        <v>80782</v>
      </c>
      <c r="J20" s="154">
        <f t="shared" si="3"/>
        <v>6.2230569413330786E-2</v>
      </c>
      <c r="K20" s="129">
        <v>74454</v>
      </c>
      <c r="L20" s="154">
        <f>K20/K$29</f>
        <v>5.8039998285008242E-2</v>
      </c>
      <c r="M20" s="129">
        <v>120178</v>
      </c>
      <c r="N20" s="154">
        <f t="shared" si="5"/>
        <v>0.10111107932699184</v>
      </c>
      <c r="O20" s="129">
        <v>114805</v>
      </c>
      <c r="P20" s="154">
        <f t="shared" si="6"/>
        <v>0.11575768575375339</v>
      </c>
      <c r="Q20" s="34"/>
      <c r="R20" s="34" t="s">
        <v>48</v>
      </c>
      <c r="S20" s="123">
        <f>'E. Output'!C20</f>
        <v>491696.13290174998</v>
      </c>
      <c r="T20" s="154">
        <f t="shared" si="7"/>
        <v>0.35665618383986014</v>
      </c>
      <c r="U20" s="123">
        <f>'E. Output'!E20</f>
        <v>479867.50016606995</v>
      </c>
      <c r="V20" s="154">
        <f t="shared" si="8"/>
        <v>0.34847499209761057</v>
      </c>
      <c r="W20" s="123">
        <f>'E. Output'!G20</f>
        <v>490002.18317918648</v>
      </c>
      <c r="X20" s="154">
        <f t="shared" si="9"/>
        <v>0.35057046845499368</v>
      </c>
      <c r="Y20" s="123">
        <f>'E. Output'!I20</f>
        <v>495028.81601033662</v>
      </c>
      <c r="Z20" s="154">
        <f t="shared" si="10"/>
        <v>0.35019039059309659</v>
      </c>
      <c r="AA20" s="123">
        <f>'E. Output'!K20</f>
        <v>500281.92340057122</v>
      </c>
      <c r="AB20" s="122">
        <f t="shared" si="11"/>
        <v>0.34989574826504327</v>
      </c>
      <c r="AC20" s="12">
        <v>0</v>
      </c>
      <c r="AD20" s="15" t="e">
        <f t="shared" si="12"/>
        <v>#DIV/0!</v>
      </c>
      <c r="AE20" s="12">
        <v>0</v>
      </c>
      <c r="AF20" s="15" t="e">
        <f t="shared" si="13"/>
        <v>#DIV/0!</v>
      </c>
      <c r="AG20" s="12">
        <v>0</v>
      </c>
      <c r="AH20" s="15" t="e">
        <f t="shared" si="14"/>
        <v>#DIV/0!</v>
      </c>
      <c r="AI20" s="12">
        <v>0</v>
      </c>
      <c r="AJ20" s="15" t="e">
        <f t="shared" si="15"/>
        <v>#DIV/0!</v>
      </c>
      <c r="AK20" s="12">
        <v>0</v>
      </c>
      <c r="AL20" s="15" t="e">
        <f t="shared" si="16"/>
        <v>#DIV/0!</v>
      </c>
      <c r="AM20" s="12">
        <v>0</v>
      </c>
      <c r="AN20" s="15" t="e">
        <f t="shared" si="17"/>
        <v>#DIV/0!</v>
      </c>
    </row>
    <row r="21" spans="1:44" ht="15" customHeight="1" thickBot="1" x14ac:dyDescent="0.25">
      <c r="A21" s="34"/>
      <c r="B21" s="34" t="s">
        <v>55</v>
      </c>
      <c r="C21" s="216">
        <v>0</v>
      </c>
      <c r="D21" s="154">
        <f t="shared" si="0"/>
        <v>0</v>
      </c>
      <c r="E21" s="216">
        <v>0</v>
      </c>
      <c r="F21" s="154">
        <f t="shared" si="1"/>
        <v>0</v>
      </c>
      <c r="G21" s="129">
        <v>-545</v>
      </c>
      <c r="H21" s="154">
        <f t="shared" si="2"/>
        <v>-4.2944867457955397E-4</v>
      </c>
      <c r="I21" s="129">
        <v>776</v>
      </c>
      <c r="J21" s="154">
        <f t="shared" si="3"/>
        <v>5.9779309579788427E-4</v>
      </c>
      <c r="K21" s="129">
        <v>1666</v>
      </c>
      <c r="L21" s="154">
        <f t="shared" si="4"/>
        <v>1.2987164845787162E-3</v>
      </c>
      <c r="M21" s="129">
        <f>48-1682</f>
        <v>-1634</v>
      </c>
      <c r="N21" s="154">
        <f t="shared" si="5"/>
        <v>-1.3747566411514975E-3</v>
      </c>
      <c r="O21" s="129"/>
      <c r="P21" s="154">
        <f t="shared" si="6"/>
        <v>0</v>
      </c>
      <c r="Q21" s="34"/>
      <c r="R21" s="34" t="s">
        <v>55</v>
      </c>
      <c r="S21" s="123">
        <f>'E. Output'!C21</f>
        <v>0</v>
      </c>
      <c r="T21" s="154">
        <f t="shared" si="7"/>
        <v>0</v>
      </c>
      <c r="U21" s="123">
        <f>'E. Output'!E21</f>
        <v>0</v>
      </c>
      <c r="V21" s="154">
        <f t="shared" si="8"/>
        <v>0</v>
      </c>
      <c r="W21" s="123">
        <f>'E. Output'!G21</f>
        <v>0</v>
      </c>
      <c r="X21" s="154">
        <f t="shared" si="9"/>
        <v>0</v>
      </c>
      <c r="Y21" s="123">
        <f>'E. Output'!I21</f>
        <v>0</v>
      </c>
      <c r="Z21" s="154">
        <f t="shared" si="10"/>
        <v>0</v>
      </c>
      <c r="AA21" s="123">
        <f>'E. Output'!K21</f>
        <v>0</v>
      </c>
      <c r="AB21" s="122">
        <f t="shared" si="11"/>
        <v>0</v>
      </c>
      <c r="AC21" s="12"/>
      <c r="AD21" s="15" t="e">
        <f t="shared" si="12"/>
        <v>#DIV/0!</v>
      </c>
      <c r="AE21" s="12">
        <v>0</v>
      </c>
      <c r="AF21" s="15" t="e">
        <f t="shared" si="13"/>
        <v>#DIV/0!</v>
      </c>
      <c r="AG21" s="12">
        <v>0</v>
      </c>
      <c r="AH21" s="15" t="e">
        <f t="shared" si="14"/>
        <v>#DIV/0!</v>
      </c>
      <c r="AI21" s="12">
        <v>0</v>
      </c>
      <c r="AJ21" s="15" t="e">
        <f t="shared" si="15"/>
        <v>#DIV/0!</v>
      </c>
      <c r="AK21" s="12">
        <v>0</v>
      </c>
      <c r="AL21" s="15" t="e">
        <f t="shared" si="16"/>
        <v>#DIV/0!</v>
      </c>
      <c r="AM21" s="12">
        <v>0</v>
      </c>
      <c r="AN21" s="15" t="e">
        <f t="shared" si="17"/>
        <v>#DIV/0!</v>
      </c>
    </row>
    <row r="22" spans="1:44" ht="15" customHeight="1" thickBot="1" x14ac:dyDescent="0.25">
      <c r="A22" s="34"/>
      <c r="B22" s="34" t="s">
        <v>22</v>
      </c>
      <c r="C22" s="216">
        <v>323022</v>
      </c>
      <c r="D22" s="154">
        <f t="shared" si="0"/>
        <v>0.26345120408574385</v>
      </c>
      <c r="E22" s="216">
        <v>255241</v>
      </c>
      <c r="F22" s="154">
        <f t="shared" si="1"/>
        <v>0.21272033269716389</v>
      </c>
      <c r="G22" s="129">
        <v>360676</v>
      </c>
      <c r="H22" s="154">
        <f t="shared" si="2"/>
        <v>0.28420519294065177</v>
      </c>
      <c r="I22" s="129">
        <v>312113</v>
      </c>
      <c r="J22" s="154">
        <f t="shared" si="3"/>
        <v>0.24043685117108901</v>
      </c>
      <c r="K22" s="129">
        <v>288655</v>
      </c>
      <c r="L22" s="154">
        <f t="shared" si="4"/>
        <v>0.22501861155826489</v>
      </c>
      <c r="M22" s="129">
        <v>236957</v>
      </c>
      <c r="N22" s="154">
        <f t="shared" si="5"/>
        <v>0.19936242926397515</v>
      </c>
      <c r="O22" s="129">
        <v>26535</v>
      </c>
      <c r="P22" s="154">
        <f t="shared" si="6"/>
        <v>2.675519525696482E-2</v>
      </c>
      <c r="Q22" s="34"/>
      <c r="R22" s="34" t="s">
        <v>22</v>
      </c>
      <c r="S22" s="123">
        <f>'E. Output'!C22</f>
        <v>26933.024999999998</v>
      </c>
      <c r="T22" s="154">
        <f t="shared" si="7"/>
        <v>1.9536110359613043E-2</v>
      </c>
      <c r="U22" s="123">
        <f>'E. Output'!E22</f>
        <v>27337.020374999996</v>
      </c>
      <c r="V22" s="154">
        <f t="shared" si="8"/>
        <v>1.9851871518395275E-2</v>
      </c>
      <c r="W22" s="123">
        <f>'E. Output'!G22</f>
        <v>27747.075680624992</v>
      </c>
      <c r="X22" s="154">
        <f t="shared" si="9"/>
        <v>1.9851555061451094E-2</v>
      </c>
      <c r="Y22" s="123">
        <f>'E. Output'!I22</f>
        <v>28163.281815834365</v>
      </c>
      <c r="Z22" s="154">
        <f t="shared" si="10"/>
        <v>1.9923104151707713E-2</v>
      </c>
      <c r="AA22" s="123">
        <f>'E. Output'!K22</f>
        <v>28585.731043071879</v>
      </c>
      <c r="AB22" s="122">
        <f t="shared" si="11"/>
        <v>1.9992778641754722E-2</v>
      </c>
      <c r="AC22" s="12">
        <v>0</v>
      </c>
      <c r="AD22" s="15" t="e">
        <f t="shared" si="12"/>
        <v>#DIV/0!</v>
      </c>
      <c r="AE22" s="12">
        <v>0</v>
      </c>
      <c r="AF22" s="15" t="e">
        <f t="shared" si="13"/>
        <v>#DIV/0!</v>
      </c>
      <c r="AG22" s="12">
        <v>0</v>
      </c>
      <c r="AH22" s="15" t="e">
        <f t="shared" si="14"/>
        <v>#DIV/0!</v>
      </c>
      <c r="AI22" s="12">
        <v>0</v>
      </c>
      <c r="AJ22" s="15" t="e">
        <f t="shared" si="15"/>
        <v>#DIV/0!</v>
      </c>
      <c r="AK22" s="12">
        <v>0</v>
      </c>
      <c r="AL22" s="15" t="e">
        <f t="shared" si="16"/>
        <v>#DIV/0!</v>
      </c>
      <c r="AM22" s="12">
        <v>0</v>
      </c>
      <c r="AN22" s="15" t="e">
        <f t="shared" si="17"/>
        <v>#DIV/0!</v>
      </c>
    </row>
    <row r="23" spans="1:44" ht="15" customHeight="1" thickBot="1" x14ac:dyDescent="0.25">
      <c r="A23" s="34"/>
      <c r="B23" s="34" t="s">
        <v>23</v>
      </c>
      <c r="C23" s="216">
        <v>162458</v>
      </c>
      <c r="D23" s="154">
        <f t="shared" si="0"/>
        <v>0.13249795900391234</v>
      </c>
      <c r="E23" s="216">
        <v>52715</v>
      </c>
      <c r="F23" s="154">
        <f t="shared" si="1"/>
        <v>4.3933193876105309E-2</v>
      </c>
      <c r="G23" s="129">
        <v>54384</v>
      </c>
      <c r="H23" s="154">
        <f t="shared" si="2"/>
        <v>4.2853461868503605E-2</v>
      </c>
      <c r="I23" s="129">
        <v>66404</v>
      </c>
      <c r="J23" s="154">
        <f t="shared" si="3"/>
        <v>5.1154449398663288E-2</v>
      </c>
      <c r="K23" s="129">
        <v>106711</v>
      </c>
      <c r="L23" s="154">
        <f t="shared" si="4"/>
        <v>8.3185675141584259E-2</v>
      </c>
      <c r="M23" s="129">
        <v>64086</v>
      </c>
      <c r="N23" s="154">
        <f t="shared" si="5"/>
        <v>5.3918392965015223E-2</v>
      </c>
      <c r="O23" s="129">
        <v>39310</v>
      </c>
      <c r="P23" s="154">
        <f t="shared" si="6"/>
        <v>3.9636205975175698E-2</v>
      </c>
      <c r="Q23" s="34"/>
      <c r="R23" s="34" t="s">
        <v>23</v>
      </c>
      <c r="S23" s="123">
        <f>'E. Output'!C23</f>
        <v>39899.649999999994</v>
      </c>
      <c r="T23" s="154">
        <f t="shared" si="7"/>
        <v>2.8941567674256211E-2</v>
      </c>
      <c r="U23" s="123">
        <f>'E. Output'!E23</f>
        <v>40498.144749999992</v>
      </c>
      <c r="V23" s="154">
        <f t="shared" si="8"/>
        <v>2.9409348761564657E-2</v>
      </c>
      <c r="W23" s="123">
        <f>'E. Output'!G23</f>
        <v>41105.616921249988</v>
      </c>
      <c r="X23" s="154">
        <f t="shared" si="9"/>
        <v>2.9408879949713307E-2</v>
      </c>
      <c r="Y23" s="123">
        <f>'E. Output'!I23</f>
        <v>41722.201175068731</v>
      </c>
      <c r="Z23" s="154">
        <f t="shared" si="10"/>
        <v>2.9514875605940457E-2</v>
      </c>
      <c r="AA23" s="123">
        <f>'E. Output'!K23</f>
        <v>42144.423186819418</v>
      </c>
      <c r="AB23" s="122">
        <f t="shared" si="11"/>
        <v>2.9475689199235183E-2</v>
      </c>
      <c r="AC23" s="12">
        <v>0</v>
      </c>
      <c r="AD23" s="15" t="e">
        <f t="shared" si="12"/>
        <v>#DIV/0!</v>
      </c>
      <c r="AE23" s="12">
        <v>0</v>
      </c>
      <c r="AF23" s="15" t="e">
        <f t="shared" si="13"/>
        <v>#DIV/0!</v>
      </c>
      <c r="AG23" s="12">
        <v>0</v>
      </c>
      <c r="AH23" s="15" t="e">
        <f t="shared" si="14"/>
        <v>#DIV/0!</v>
      </c>
      <c r="AI23" s="12">
        <v>0</v>
      </c>
      <c r="AJ23" s="15" t="e">
        <f t="shared" si="15"/>
        <v>#DIV/0!</v>
      </c>
      <c r="AK23" s="12">
        <v>0</v>
      </c>
      <c r="AL23" s="15" t="e">
        <f t="shared" si="16"/>
        <v>#DIV/0!</v>
      </c>
      <c r="AM23" s="12">
        <v>0</v>
      </c>
      <c r="AN23" s="15" t="e">
        <f t="shared" si="17"/>
        <v>#DIV/0!</v>
      </c>
    </row>
    <row r="24" spans="1:44" ht="15" customHeight="1" thickBot="1" x14ac:dyDescent="0.25">
      <c r="A24" s="34"/>
      <c r="B24" s="130" t="s">
        <v>137</v>
      </c>
      <c r="C24" s="216">
        <v>104130</v>
      </c>
      <c r="D24" s="154">
        <f t="shared" si="0"/>
        <v>8.4926642400358202E-2</v>
      </c>
      <c r="E24" s="216">
        <v>0</v>
      </c>
      <c r="F24" s="154">
        <f t="shared" si="1"/>
        <v>0</v>
      </c>
      <c r="G24" s="129">
        <v>0</v>
      </c>
      <c r="H24" s="154">
        <f t="shared" si="2"/>
        <v>0</v>
      </c>
      <c r="I24" s="129">
        <v>0</v>
      </c>
      <c r="J24" s="154">
        <f t="shared" si="3"/>
        <v>0</v>
      </c>
      <c r="K24" s="289">
        <v>64104</v>
      </c>
      <c r="L24" s="154">
        <f t="shared" si="4"/>
        <v>4.9971741613105657E-2</v>
      </c>
      <c r="M24" s="129">
        <v>0</v>
      </c>
      <c r="N24" s="154">
        <f t="shared" si="5"/>
        <v>0</v>
      </c>
      <c r="O24" s="129">
        <v>0</v>
      </c>
      <c r="P24" s="154">
        <f t="shared" si="6"/>
        <v>0</v>
      </c>
      <c r="Q24" s="34"/>
      <c r="R24" s="130" t="s">
        <v>137</v>
      </c>
      <c r="S24" s="123">
        <f>'E. Output'!C24</f>
        <v>0</v>
      </c>
      <c r="T24" s="154">
        <f t="shared" si="7"/>
        <v>0</v>
      </c>
      <c r="U24" s="123">
        <f>'E. Output'!E24</f>
        <v>0</v>
      </c>
      <c r="V24" s="154">
        <f t="shared" si="8"/>
        <v>0</v>
      </c>
      <c r="W24" s="123">
        <f>'E. Output'!G24</f>
        <v>0</v>
      </c>
      <c r="X24" s="154">
        <f t="shared" si="9"/>
        <v>0</v>
      </c>
      <c r="Y24" s="123">
        <f>'E. Output'!I24</f>
        <v>0</v>
      </c>
      <c r="Z24" s="154">
        <f t="shared" si="10"/>
        <v>0</v>
      </c>
      <c r="AA24" s="123">
        <f>'E. Output'!K24</f>
        <v>0</v>
      </c>
      <c r="AB24" s="122">
        <f t="shared" si="11"/>
        <v>0</v>
      </c>
      <c r="AC24" s="12">
        <v>0</v>
      </c>
      <c r="AD24" s="15" t="e">
        <f t="shared" si="12"/>
        <v>#DIV/0!</v>
      </c>
      <c r="AE24" s="12">
        <v>0</v>
      </c>
      <c r="AF24" s="15" t="e">
        <f t="shared" si="13"/>
        <v>#DIV/0!</v>
      </c>
      <c r="AG24" s="12">
        <v>0</v>
      </c>
      <c r="AH24" s="15" t="e">
        <f t="shared" si="14"/>
        <v>#DIV/0!</v>
      </c>
      <c r="AI24" s="12">
        <v>0</v>
      </c>
      <c r="AJ24" s="15" t="e">
        <f t="shared" si="15"/>
        <v>#DIV/0!</v>
      </c>
      <c r="AK24" s="12">
        <v>0</v>
      </c>
      <c r="AL24" s="15" t="e">
        <f t="shared" si="16"/>
        <v>#DIV/0!</v>
      </c>
      <c r="AM24" s="12">
        <v>0</v>
      </c>
      <c r="AN24" s="15" t="e">
        <f t="shared" si="17"/>
        <v>#DIV/0!</v>
      </c>
    </row>
    <row r="25" spans="1:44" ht="15" customHeight="1" thickBot="1" x14ac:dyDescent="0.25">
      <c r="A25" s="34"/>
      <c r="B25" s="34" t="s">
        <v>29</v>
      </c>
      <c r="C25" s="207">
        <f>C23-C24</f>
        <v>58328</v>
      </c>
      <c r="D25" s="154">
        <f t="shared" si="0"/>
        <v>4.7571316603554147E-2</v>
      </c>
      <c r="E25" s="207">
        <f>E23-E24</f>
        <v>52715</v>
      </c>
      <c r="F25" s="154">
        <f t="shared" si="1"/>
        <v>4.3933193876105309E-2</v>
      </c>
      <c r="G25" s="287">
        <f>G23-G24</f>
        <v>54384</v>
      </c>
      <c r="H25" s="154">
        <f t="shared" si="2"/>
        <v>4.2853461868503605E-2</v>
      </c>
      <c r="I25" s="287">
        <f>I23-I24</f>
        <v>66404</v>
      </c>
      <c r="J25" s="154">
        <f t="shared" si="3"/>
        <v>5.1154449398663288E-2</v>
      </c>
      <c r="K25" s="287">
        <f>K23-K24</f>
        <v>42607</v>
      </c>
      <c r="L25" s="154">
        <f t="shared" si="4"/>
        <v>3.3213933528478609E-2</v>
      </c>
      <c r="M25" s="131">
        <f>M23-M24</f>
        <v>64086</v>
      </c>
      <c r="N25" s="154">
        <f t="shared" si="5"/>
        <v>5.3918392965015223E-2</v>
      </c>
      <c r="O25" s="131">
        <f>O23-O24</f>
        <v>39310</v>
      </c>
      <c r="P25" s="154">
        <f t="shared" si="6"/>
        <v>3.9636205975175698E-2</v>
      </c>
      <c r="Q25" s="34"/>
      <c r="R25" s="34" t="s">
        <v>29</v>
      </c>
      <c r="S25" s="131">
        <f>S23-S24</f>
        <v>39899.649999999994</v>
      </c>
      <c r="T25" s="154">
        <f t="shared" si="7"/>
        <v>2.8941567674256211E-2</v>
      </c>
      <c r="U25" s="131">
        <f>U23-U24</f>
        <v>40498.144749999992</v>
      </c>
      <c r="V25" s="154">
        <f t="shared" si="8"/>
        <v>2.9409348761564657E-2</v>
      </c>
      <c r="W25" s="131">
        <f>W23-W24</f>
        <v>41105.616921249988</v>
      </c>
      <c r="X25" s="154">
        <f t="shared" si="9"/>
        <v>2.9408879949713307E-2</v>
      </c>
      <c r="Y25" s="131">
        <f>Y23-Y24</f>
        <v>41722.201175068731</v>
      </c>
      <c r="Z25" s="154">
        <f t="shared" si="10"/>
        <v>2.9514875605940457E-2</v>
      </c>
      <c r="AA25" s="131">
        <f>AA23-AA24</f>
        <v>42144.423186819418</v>
      </c>
      <c r="AB25" s="122">
        <f t="shared" si="11"/>
        <v>2.9475689199235183E-2</v>
      </c>
      <c r="AC25" s="24">
        <f>AC23-AC24</f>
        <v>0</v>
      </c>
      <c r="AD25" s="15" t="e">
        <f t="shared" si="12"/>
        <v>#DIV/0!</v>
      </c>
      <c r="AE25" s="24">
        <f>AE23-AE24</f>
        <v>0</v>
      </c>
      <c r="AF25" s="15" t="e">
        <f t="shared" si="13"/>
        <v>#DIV/0!</v>
      </c>
      <c r="AG25" s="24">
        <f>AG23-AG24</f>
        <v>0</v>
      </c>
      <c r="AH25" s="15" t="e">
        <f t="shared" si="14"/>
        <v>#DIV/0!</v>
      </c>
      <c r="AI25" s="24">
        <f>AI23-AI24</f>
        <v>0</v>
      </c>
      <c r="AJ25" s="15" t="e">
        <f t="shared" si="15"/>
        <v>#DIV/0!</v>
      </c>
      <c r="AK25" s="24">
        <f>AK23-AK24</f>
        <v>0</v>
      </c>
      <c r="AL25" s="15" t="e">
        <f t="shared" si="16"/>
        <v>#DIV/0!</v>
      </c>
      <c r="AM25" s="24">
        <f>AM23-AM24</f>
        <v>0</v>
      </c>
      <c r="AN25" s="15" t="e">
        <f t="shared" si="17"/>
        <v>#DIV/0!</v>
      </c>
    </row>
    <row r="26" spans="1:44" ht="15" customHeight="1" x14ac:dyDescent="0.2">
      <c r="A26" s="34"/>
      <c r="B26" s="34" t="s">
        <v>24</v>
      </c>
      <c r="C26" s="215">
        <v>11964</v>
      </c>
      <c r="D26" s="154">
        <f t="shared" si="0"/>
        <v>9.7576332438095228E-3</v>
      </c>
      <c r="E26" s="215">
        <v>11531</v>
      </c>
      <c r="F26" s="154">
        <f t="shared" si="1"/>
        <v>9.6100475876955381E-3</v>
      </c>
      <c r="G26" s="128">
        <v>19518</v>
      </c>
      <c r="H26" s="154">
        <f t="shared" si="2"/>
        <v>1.5379778404483917E-2</v>
      </c>
      <c r="I26" s="128">
        <v>18459</v>
      </c>
      <c r="J26" s="154">
        <f t="shared" si="3"/>
        <v>1.4219926231099415E-2</v>
      </c>
      <c r="K26" s="128">
        <f>22731-4</f>
        <v>22727</v>
      </c>
      <c r="L26" s="154">
        <f t="shared" si="4"/>
        <v>1.7716644384766195E-2</v>
      </c>
      <c r="M26" s="128">
        <f>24744+1</f>
        <v>24745</v>
      </c>
      <c r="N26" s="154">
        <f t="shared" si="5"/>
        <v>2.0819065535675522E-2</v>
      </c>
      <c r="O26" s="128">
        <v>600</v>
      </c>
      <c r="P26" s="154">
        <f t="shared" si="6"/>
        <v>6.0497897698054989E-4</v>
      </c>
      <c r="Q26" s="34"/>
      <c r="R26" s="34" t="s">
        <v>24</v>
      </c>
      <c r="S26" s="124">
        <f>'E. Output'!C26</f>
        <v>600</v>
      </c>
      <c r="T26" s="154">
        <f t="shared" si="7"/>
        <v>4.3521536165238867E-4</v>
      </c>
      <c r="U26" s="124">
        <f>'E. Output'!E26</f>
        <v>600</v>
      </c>
      <c r="V26" s="154">
        <f t="shared" si="8"/>
        <v>4.3571401519420952E-4</v>
      </c>
      <c r="W26" s="124">
        <f>'E. Output'!G26</f>
        <v>600</v>
      </c>
      <c r="X26" s="154">
        <f t="shared" si="9"/>
        <v>4.2926804878352383E-4</v>
      </c>
      <c r="Y26" s="124">
        <f>'E. Output'!I26</f>
        <v>600</v>
      </c>
      <c r="Z26" s="154">
        <f t="shared" si="10"/>
        <v>4.2444849180551657E-4</v>
      </c>
      <c r="AA26" s="124">
        <f>'E. Output'!K26</f>
        <v>600</v>
      </c>
      <c r="AB26" s="122">
        <f t="shared" si="11"/>
        <v>4.1963828621273397E-4</v>
      </c>
      <c r="AC26" s="11">
        <v>0</v>
      </c>
      <c r="AD26" s="15" t="e">
        <f t="shared" si="12"/>
        <v>#DIV/0!</v>
      </c>
      <c r="AE26" s="11">
        <v>0</v>
      </c>
      <c r="AF26" s="15" t="e">
        <f t="shared" si="13"/>
        <v>#DIV/0!</v>
      </c>
      <c r="AG26" s="11">
        <v>0</v>
      </c>
      <c r="AH26" s="15" t="e">
        <f t="shared" si="14"/>
        <v>#DIV/0!</v>
      </c>
      <c r="AI26" s="11">
        <v>0</v>
      </c>
      <c r="AJ26" s="15" t="e">
        <f t="shared" si="15"/>
        <v>#DIV/0!</v>
      </c>
      <c r="AK26" s="11">
        <v>0</v>
      </c>
      <c r="AL26" s="15" t="e">
        <f t="shared" si="16"/>
        <v>#DIV/0!</v>
      </c>
      <c r="AM26" s="11">
        <v>0</v>
      </c>
      <c r="AN26" s="15" t="e">
        <f t="shared" si="17"/>
        <v>#DIV/0!</v>
      </c>
    </row>
    <row r="27" spans="1:44" s="7" customFormat="1" ht="15" customHeight="1" x14ac:dyDescent="0.2">
      <c r="A27" s="35"/>
      <c r="B27" s="125" t="s">
        <v>35</v>
      </c>
      <c r="C27" s="208">
        <f>C18+C19+C20+C21+C22+C25+C26</f>
        <v>604812</v>
      </c>
      <c r="D27" s="155">
        <f>C27/C$29</f>
        <v>0.49327429600927153</v>
      </c>
      <c r="E27" s="208">
        <f>E18+E19+E20+E21+E22+E25+E26</f>
        <v>585506</v>
      </c>
      <c r="F27" s="155">
        <f>E27/E$29</f>
        <v>0.48796639691971766</v>
      </c>
      <c r="G27" s="139">
        <f>G18+G19+G20+G21+G22+G25+G26</f>
        <v>704406</v>
      </c>
      <c r="H27" s="155">
        <f>G27/G$29</f>
        <v>0.55505729002914739</v>
      </c>
      <c r="I27" s="139">
        <f>I18+I19+I20+I21+I22+I25+I26</f>
        <v>696262</v>
      </c>
      <c r="J27" s="155">
        <f t="shared" ref="J27:J29" si="18">I27/I$29</f>
        <v>0.53636677379694142</v>
      </c>
      <c r="K27" s="139">
        <f>K18+K19+K20+K21+K22+K25+K26</f>
        <v>678308</v>
      </c>
      <c r="L27" s="155">
        <f t="shared" si="4"/>
        <v>0.52876937648356526</v>
      </c>
      <c r="M27" s="139">
        <f>M18+M19+M20+M21+M22+M25+M26</f>
        <v>697494</v>
      </c>
      <c r="N27" s="155">
        <f t="shared" si="5"/>
        <v>0.58683262464095631</v>
      </c>
      <c r="O27" s="139">
        <f>O18+O19+O20+O21+O22+O25+O26</f>
        <v>401070</v>
      </c>
      <c r="P27" s="156">
        <f t="shared" si="6"/>
        <v>0.40439819716264858</v>
      </c>
      <c r="Q27" s="35"/>
      <c r="R27" s="125" t="s">
        <v>35</v>
      </c>
      <c r="S27" s="126">
        <f>S18+S19+S20+S21+S22+S25+S26</f>
        <v>778948.80790175009</v>
      </c>
      <c r="T27" s="155">
        <f t="shared" si="7"/>
        <v>0.5650174785660953</v>
      </c>
      <c r="U27" s="126">
        <f>U18+U19+U20+U21+U22+U25+U26</f>
        <v>768122.66529106989</v>
      </c>
      <c r="V27" s="155">
        <f t="shared" si="8"/>
        <v>0.55780301775941654</v>
      </c>
      <c r="W27" s="126">
        <f>W18+W19+W20+W21+W22+W25+W26</f>
        <v>779274.87578106148</v>
      </c>
      <c r="X27" s="155">
        <f t="shared" si="9"/>
        <v>0.55752967565426526</v>
      </c>
      <c r="Y27" s="126">
        <f>Y18+Y19+Y20+Y21+Y22+Y25+Y26</f>
        <v>785334.29900123971</v>
      </c>
      <c r="Z27" s="155">
        <f t="shared" si="10"/>
        <v>0.55555659795703138</v>
      </c>
      <c r="AA27" s="126">
        <f>AA18+AA19+AA20+AA21+AA22+AA25+AA26</f>
        <v>791432.07763046247</v>
      </c>
      <c r="AB27" s="127">
        <f t="shared" si="11"/>
        <v>0.5535253345177179</v>
      </c>
      <c r="AC27" s="8">
        <f>AC18+AC19+AC20+AC21+AC22+AC25+AC26</f>
        <v>0</v>
      </c>
      <c r="AD27" s="15" t="e">
        <f t="shared" si="12"/>
        <v>#DIV/0!</v>
      </c>
      <c r="AE27" s="8">
        <f>AE18+AE19+AE20+AE21+AE22+AE25+AE26</f>
        <v>0</v>
      </c>
      <c r="AF27" s="16" t="e">
        <f t="shared" si="13"/>
        <v>#DIV/0!</v>
      </c>
      <c r="AG27" s="8">
        <f>AG18+AG19+AG20+AG21+AG22+AG25+AG26</f>
        <v>0</v>
      </c>
      <c r="AH27" s="16" t="e">
        <f t="shared" si="14"/>
        <v>#DIV/0!</v>
      </c>
      <c r="AI27" s="8">
        <f>AI18+AI19+AI20+AI21+AI22+AI25+AI26</f>
        <v>0</v>
      </c>
      <c r="AJ27" s="16" t="e">
        <f t="shared" si="15"/>
        <v>#DIV/0!</v>
      </c>
      <c r="AK27" s="8">
        <f>AK18+AK19+AK20+AK21+AK22+AK25+AK26</f>
        <v>0</v>
      </c>
      <c r="AL27" s="16" t="e">
        <f t="shared" si="16"/>
        <v>#DIV/0!</v>
      </c>
      <c r="AM27" s="8">
        <f>AM18+AM19+AM20+AM21+AM22+AM25+AM26</f>
        <v>0</v>
      </c>
      <c r="AN27" s="16" t="e">
        <f t="shared" si="17"/>
        <v>#DIV/0!</v>
      </c>
    </row>
    <row r="28" spans="1:44" ht="15" customHeight="1" thickBot="1" x14ac:dyDescent="0.25">
      <c r="A28" s="34"/>
      <c r="B28" s="34" t="s">
        <v>25</v>
      </c>
      <c r="C28" s="217">
        <v>0</v>
      </c>
      <c r="D28" s="154">
        <f>C28/C$29</f>
        <v>0</v>
      </c>
      <c r="E28" s="217">
        <v>0</v>
      </c>
      <c r="F28" s="154">
        <f>E28/E$29</f>
        <v>0</v>
      </c>
      <c r="G28" s="218">
        <v>0</v>
      </c>
      <c r="H28" s="154">
        <f>G28/G$29</f>
        <v>0</v>
      </c>
      <c r="I28" s="218">
        <v>0</v>
      </c>
      <c r="J28" s="154">
        <f t="shared" si="18"/>
        <v>0</v>
      </c>
      <c r="K28" s="218">
        <v>0</v>
      </c>
      <c r="L28" s="154">
        <f t="shared" si="4"/>
        <v>0</v>
      </c>
      <c r="M28" s="218">
        <v>0</v>
      </c>
      <c r="N28" s="154">
        <f t="shared" si="5"/>
        <v>0</v>
      </c>
      <c r="O28" s="218">
        <v>0</v>
      </c>
      <c r="P28" s="154">
        <f t="shared" si="6"/>
        <v>0</v>
      </c>
      <c r="Q28" s="34"/>
      <c r="R28" s="34" t="s">
        <v>25</v>
      </c>
      <c r="S28" s="124">
        <f>'E. Output'!C28</f>
        <v>0</v>
      </c>
      <c r="T28" s="154">
        <f t="shared" si="7"/>
        <v>0</v>
      </c>
      <c r="U28" s="124">
        <f>'E. Output'!E28</f>
        <v>0</v>
      </c>
      <c r="V28" s="154">
        <f t="shared" si="8"/>
        <v>0</v>
      </c>
      <c r="W28" s="124">
        <f>'E. Output'!G28</f>
        <v>0</v>
      </c>
      <c r="X28" s="154">
        <f t="shared" si="9"/>
        <v>0</v>
      </c>
      <c r="Y28" s="124">
        <f>'E. Output'!I28</f>
        <v>0</v>
      </c>
      <c r="Z28" s="154">
        <f t="shared" si="10"/>
        <v>0</v>
      </c>
      <c r="AA28" s="124">
        <f>'E. Output'!K28</f>
        <v>0</v>
      </c>
      <c r="AB28" s="122">
        <f t="shared" si="11"/>
        <v>0</v>
      </c>
      <c r="AC28" s="5">
        <v>0</v>
      </c>
      <c r="AD28" s="15" t="e">
        <f t="shared" si="12"/>
        <v>#DIV/0!</v>
      </c>
      <c r="AE28" s="5">
        <v>0</v>
      </c>
      <c r="AF28" s="15" t="e">
        <f t="shared" si="13"/>
        <v>#DIV/0!</v>
      </c>
      <c r="AG28" s="5">
        <v>0</v>
      </c>
      <c r="AH28" s="15" t="e">
        <f t="shared" si="14"/>
        <v>#DIV/0!</v>
      </c>
      <c r="AI28" s="5">
        <v>0</v>
      </c>
      <c r="AJ28" s="15" t="e">
        <f t="shared" si="15"/>
        <v>#DIV/0!</v>
      </c>
      <c r="AK28" s="5">
        <v>0</v>
      </c>
      <c r="AL28" s="15" t="e">
        <f t="shared" si="16"/>
        <v>#DIV/0!</v>
      </c>
      <c r="AM28" s="5">
        <v>0</v>
      </c>
      <c r="AN28" s="15" t="e">
        <f t="shared" si="17"/>
        <v>#DIV/0!</v>
      </c>
    </row>
    <row r="29" spans="1:44" s="7" customFormat="1" ht="15" customHeight="1" thickBot="1" x14ac:dyDescent="0.25">
      <c r="A29" s="132" t="s">
        <v>37</v>
      </c>
      <c r="B29" s="132"/>
      <c r="C29" s="208">
        <f>C14+C17+C27+C28</f>
        <v>1226117</v>
      </c>
      <c r="D29" s="157">
        <f>C29/C$29</f>
        <v>1</v>
      </c>
      <c r="E29" s="208">
        <f>E14+E17+E27+E28</f>
        <v>1199890</v>
      </c>
      <c r="F29" s="157">
        <f>E29/E$29</f>
        <v>1</v>
      </c>
      <c r="G29" s="139">
        <f>G14+G17+G27+G28</f>
        <v>1269069</v>
      </c>
      <c r="H29" s="157">
        <f>G29/G$29</f>
        <v>1</v>
      </c>
      <c r="I29" s="139">
        <f>I14+I17+I27+I28</f>
        <v>1298108</v>
      </c>
      <c r="J29" s="157">
        <f t="shared" si="18"/>
        <v>1</v>
      </c>
      <c r="K29" s="139">
        <f>K14+K17+K27+K28</f>
        <v>1282805</v>
      </c>
      <c r="L29" s="157">
        <f t="shared" si="4"/>
        <v>1</v>
      </c>
      <c r="M29" s="139">
        <f>M14+M17+M27+M28</f>
        <v>1188574</v>
      </c>
      <c r="N29" s="157">
        <f t="shared" si="5"/>
        <v>1</v>
      </c>
      <c r="O29" s="133">
        <f>O14+O17+O27+O28</f>
        <v>991770</v>
      </c>
      <c r="P29" s="157">
        <f t="shared" si="6"/>
        <v>1</v>
      </c>
      <c r="Q29" s="132" t="s">
        <v>37</v>
      </c>
      <c r="R29" s="132"/>
      <c r="S29" s="133">
        <f>S14+S17+S27+S28</f>
        <v>1378627.8079017501</v>
      </c>
      <c r="T29" s="157">
        <f t="shared" si="7"/>
        <v>1</v>
      </c>
      <c r="U29" s="133">
        <f>U14+U17+U27+U28</f>
        <v>1377050.0352910699</v>
      </c>
      <c r="V29" s="157">
        <f t="shared" si="8"/>
        <v>1</v>
      </c>
      <c r="W29" s="133">
        <f>W14+W17+W27+W28</f>
        <v>1397728.0668810615</v>
      </c>
      <c r="X29" s="157">
        <f t="shared" si="9"/>
        <v>1</v>
      </c>
      <c r="Y29" s="133">
        <f>Y14+Y17+Y27+Y28</f>
        <v>1413599.0858342396</v>
      </c>
      <c r="Z29" s="157">
        <f t="shared" si="10"/>
        <v>1</v>
      </c>
      <c r="AA29" s="133">
        <f>AA14+AA17+AA27+AA28</f>
        <v>1429802.8080684524</v>
      </c>
      <c r="AB29" s="134">
        <f t="shared" si="11"/>
        <v>1</v>
      </c>
      <c r="AC29" s="8">
        <f>AC14+AC17+AC27+AC28</f>
        <v>0</v>
      </c>
      <c r="AD29" s="16" t="e">
        <f t="shared" si="12"/>
        <v>#DIV/0!</v>
      </c>
      <c r="AE29" s="8">
        <f>AE14+AE17+AE27+AE28</f>
        <v>0</v>
      </c>
      <c r="AF29" s="16" t="e">
        <f t="shared" si="13"/>
        <v>#DIV/0!</v>
      </c>
      <c r="AG29" s="8">
        <f>AG14+AG17+AG27+AG28</f>
        <v>0</v>
      </c>
      <c r="AH29" s="16" t="e">
        <f t="shared" si="14"/>
        <v>#DIV/0!</v>
      </c>
      <c r="AI29" s="8">
        <f>AI14+AI17+AI27+AI28</f>
        <v>0</v>
      </c>
      <c r="AJ29" s="16" t="e">
        <f t="shared" si="15"/>
        <v>#DIV/0!</v>
      </c>
      <c r="AK29" s="8">
        <f>AK14+AK17+AK27+AK28</f>
        <v>0</v>
      </c>
      <c r="AL29" s="16" t="e">
        <f t="shared" si="16"/>
        <v>#DIV/0!</v>
      </c>
      <c r="AM29" s="8">
        <f>AM14+AM17+AM27+AM28</f>
        <v>0</v>
      </c>
      <c r="AN29" s="16" t="e">
        <f t="shared" si="17"/>
        <v>#DIV/0!</v>
      </c>
    </row>
    <row r="30" spans="1:44" ht="12" customHeight="1" thickTop="1" x14ac:dyDescent="0.2">
      <c r="A30" s="34"/>
      <c r="B30" s="34"/>
      <c r="C30" s="135"/>
      <c r="D30" s="154"/>
      <c r="E30" s="209"/>
      <c r="F30" s="154"/>
      <c r="G30" s="209"/>
      <c r="H30" s="154"/>
      <c r="I30" s="135"/>
      <c r="J30" s="154"/>
      <c r="K30" s="135"/>
      <c r="L30" s="154"/>
      <c r="M30" s="135"/>
      <c r="N30" s="154"/>
      <c r="O30" s="135"/>
      <c r="P30" s="154"/>
      <c r="Q30" s="34"/>
      <c r="R30" s="34"/>
      <c r="S30" s="135"/>
      <c r="T30" s="154"/>
      <c r="U30" s="135"/>
      <c r="V30" s="154"/>
      <c r="W30" s="135"/>
      <c r="X30" s="154"/>
      <c r="Y30" s="135"/>
      <c r="Z30" s="154"/>
      <c r="AA30" s="135"/>
      <c r="AB30" s="122"/>
      <c r="AC30" s="13"/>
      <c r="AD30" s="15"/>
      <c r="AE30" s="13"/>
      <c r="AF30" s="15"/>
      <c r="AG30" s="13"/>
      <c r="AH30" s="15"/>
      <c r="AI30" s="13"/>
      <c r="AJ30" s="15"/>
      <c r="AK30" s="13"/>
      <c r="AL30" s="15"/>
      <c r="AM30" s="13"/>
      <c r="AN30" s="15"/>
    </row>
    <row r="31" spans="1:44" ht="15" customHeight="1" x14ac:dyDescent="0.2">
      <c r="A31" s="33" t="s">
        <v>38</v>
      </c>
      <c r="B31" s="34"/>
      <c r="C31" s="135"/>
      <c r="D31" s="154"/>
      <c r="E31" s="209"/>
      <c r="F31" s="154"/>
      <c r="G31" s="209"/>
      <c r="H31" s="154"/>
      <c r="I31" s="135"/>
      <c r="J31" s="154"/>
      <c r="K31" s="135"/>
      <c r="L31" s="154"/>
      <c r="M31" s="135"/>
      <c r="N31" s="154"/>
      <c r="O31" s="135"/>
      <c r="P31" s="154"/>
      <c r="Q31" s="33" t="s">
        <v>38</v>
      </c>
      <c r="R31" s="34"/>
      <c r="S31" s="135"/>
      <c r="T31" s="154"/>
      <c r="U31" s="135"/>
      <c r="V31" s="154"/>
      <c r="W31" s="135"/>
      <c r="X31" s="154"/>
      <c r="Y31" s="135"/>
      <c r="Z31" s="154"/>
      <c r="AA31" s="135"/>
      <c r="AB31" s="122"/>
      <c r="AC31" s="13"/>
      <c r="AD31" s="15"/>
      <c r="AE31" s="13"/>
      <c r="AF31" s="15"/>
      <c r="AG31" s="13"/>
      <c r="AH31" s="15"/>
      <c r="AI31" s="13"/>
      <c r="AJ31" s="15"/>
      <c r="AK31" s="13"/>
      <c r="AL31" s="15"/>
      <c r="AM31" s="13"/>
      <c r="AN31" s="15"/>
      <c r="AR31" s="1" t="s">
        <v>154</v>
      </c>
    </row>
    <row r="32" spans="1:44" ht="6" customHeight="1" x14ac:dyDescent="0.2">
      <c r="A32" s="33"/>
      <c r="B32" s="34"/>
      <c r="C32" s="135"/>
      <c r="D32" s="154"/>
      <c r="E32" s="209"/>
      <c r="F32" s="154"/>
      <c r="G32" s="209"/>
      <c r="H32" s="154"/>
      <c r="I32" s="135"/>
      <c r="J32" s="154"/>
      <c r="K32" s="135"/>
      <c r="L32" s="154"/>
      <c r="M32" s="135"/>
      <c r="N32" s="154"/>
      <c r="O32" s="135"/>
      <c r="P32" s="154"/>
      <c r="Q32" s="33"/>
      <c r="R32" s="34"/>
      <c r="S32" s="135"/>
      <c r="T32" s="154"/>
      <c r="U32" s="135"/>
      <c r="V32" s="154"/>
      <c r="W32" s="135"/>
      <c r="X32" s="154"/>
      <c r="Y32" s="135"/>
      <c r="Z32" s="154"/>
      <c r="AA32" s="135"/>
      <c r="AB32" s="122"/>
      <c r="AC32" s="13"/>
      <c r="AD32" s="15"/>
      <c r="AE32" s="13"/>
      <c r="AF32" s="15"/>
      <c r="AG32" s="13"/>
      <c r="AH32" s="15"/>
      <c r="AI32" s="13"/>
      <c r="AJ32" s="15"/>
      <c r="AK32" s="13"/>
      <c r="AL32" s="15"/>
      <c r="AM32" s="13"/>
      <c r="AN32" s="15"/>
      <c r="AR32" s="1" t="s">
        <v>155</v>
      </c>
    </row>
    <row r="33" spans="1:40" ht="15" customHeight="1" thickBot="1" x14ac:dyDescent="0.25">
      <c r="A33" s="34"/>
      <c r="B33" s="34" t="s">
        <v>26</v>
      </c>
      <c r="C33" s="214">
        <v>652625</v>
      </c>
      <c r="D33" s="154">
        <f>C33/C$37</f>
        <v>0.5378841013781207</v>
      </c>
      <c r="E33" s="214">
        <v>654187</v>
      </c>
      <c r="F33" s="154">
        <f>E33/E$37</f>
        <v>0.55748080479262363</v>
      </c>
      <c r="G33" s="121">
        <v>666704</v>
      </c>
      <c r="H33" s="154">
        <f>G33/G$37</f>
        <v>0.5293742590829581</v>
      </c>
      <c r="I33" s="121">
        <v>717212</v>
      </c>
      <c r="J33" s="154">
        <f>I33/I$37</f>
        <v>0.55322759550575662</v>
      </c>
      <c r="K33" s="121">
        <v>655769</v>
      </c>
      <c r="L33" s="154">
        <f>K33/K$37</f>
        <v>0.52376000466438399</v>
      </c>
      <c r="M33" s="121">
        <v>563919</v>
      </c>
      <c r="N33" s="154">
        <f>M33/M$37</f>
        <v>0.51544076515558679</v>
      </c>
      <c r="O33" s="121">
        <v>614306</v>
      </c>
      <c r="P33" s="154">
        <f>O33/O$37</f>
        <v>0.62924941511003307</v>
      </c>
      <c r="Q33" s="34"/>
      <c r="R33" s="34" t="s">
        <v>26</v>
      </c>
      <c r="S33" s="123">
        <f>'E. Output'!C33</f>
        <v>632735.18000000005</v>
      </c>
      <c r="T33" s="154">
        <f>S33/S$37</f>
        <v>0.63038395501307354</v>
      </c>
      <c r="U33" s="123">
        <f>'E. Output'!E33</f>
        <v>651717.23540000012</v>
      </c>
      <c r="V33" s="154">
        <f>U33/U$37</f>
        <v>0.63151705616181308</v>
      </c>
      <c r="W33" s="123">
        <f>'E. Output'!G33</f>
        <v>671268.75246200012</v>
      </c>
      <c r="X33" s="154">
        <f>W33/W$37</f>
        <v>0.63264870790114736</v>
      </c>
      <c r="Y33" s="123">
        <f>'E. Output'!I33</f>
        <v>691406.81503586017</v>
      </c>
      <c r="Z33" s="154">
        <f>Y33/Y$37</f>
        <v>0.63377889963749101</v>
      </c>
      <c r="AA33" s="123">
        <f>'E. Output'!K33</f>
        <v>712149.01948693604</v>
      </c>
      <c r="AB33" s="122">
        <f>AA33/AA$37</f>
        <v>0.6349076208391039</v>
      </c>
      <c r="AC33" s="10">
        <v>0</v>
      </c>
      <c r="AD33" s="15" t="e">
        <f>AC33/AC$37</f>
        <v>#DIV/0!</v>
      </c>
      <c r="AE33" s="10">
        <v>0</v>
      </c>
      <c r="AF33" s="15" t="e">
        <f>AE33/AE$37</f>
        <v>#DIV/0!</v>
      </c>
      <c r="AG33" s="10">
        <v>0</v>
      </c>
      <c r="AH33" s="15" t="e">
        <f>AG33/AG$37</f>
        <v>#DIV/0!</v>
      </c>
      <c r="AI33" s="10">
        <v>0</v>
      </c>
      <c r="AJ33" s="15" t="e">
        <f>AI33/AI$37</f>
        <v>#DIV/0!</v>
      </c>
      <c r="AK33" s="10">
        <v>0</v>
      </c>
      <c r="AL33" s="15" t="e">
        <f>AK33/AK$37</f>
        <v>#DIV/0!</v>
      </c>
      <c r="AM33" s="10">
        <v>0</v>
      </c>
      <c r="AN33" s="15" t="e">
        <f>AM33/AM$37</f>
        <v>#DIV/0!</v>
      </c>
    </row>
    <row r="34" spans="1:40" ht="15" customHeight="1" thickBot="1" x14ac:dyDescent="0.25">
      <c r="A34" s="34"/>
      <c r="B34" s="34" t="s">
        <v>27</v>
      </c>
      <c r="C34" s="216">
        <v>664824</v>
      </c>
      <c r="D34" s="154">
        <f>C34/C$37</f>
        <v>0.54793834102985284</v>
      </c>
      <c r="E34" s="216">
        <v>519283</v>
      </c>
      <c r="F34" s="154">
        <f>E34/E$37</f>
        <v>0.44251919520737643</v>
      </c>
      <c r="G34" s="129">
        <v>592715</v>
      </c>
      <c r="H34" s="154">
        <f>G34/G$37</f>
        <v>0.4706257409170419</v>
      </c>
      <c r="I34" s="129">
        <v>579202</v>
      </c>
      <c r="J34" s="154">
        <f>I34/I$37</f>
        <v>0.44677240449424332</v>
      </c>
      <c r="K34" s="129">
        <f>660376</f>
        <v>660376</v>
      </c>
      <c r="L34" s="154">
        <f>K34/K$37</f>
        <v>0.52743959662662809</v>
      </c>
      <c r="M34" s="129">
        <f>530132+1</f>
        <v>530133</v>
      </c>
      <c r="N34" s="154">
        <f>M34/M$37</f>
        <v>0.48455923484441327</v>
      </c>
      <c r="O34" s="129">
        <v>361946</v>
      </c>
      <c r="P34" s="154">
        <f>O34/O$37</f>
        <v>0.37075058488996693</v>
      </c>
      <c r="Q34" s="34"/>
      <c r="R34" s="34" t="s">
        <v>27</v>
      </c>
      <c r="S34" s="123">
        <f>'E. Output'!C34</f>
        <v>370994.64999999997</v>
      </c>
      <c r="T34" s="154">
        <f>S34/S$37</f>
        <v>0.36961604498692635</v>
      </c>
      <c r="U34" s="123">
        <f>'E. Output'!E34</f>
        <v>380269.51624999993</v>
      </c>
      <c r="V34" s="154">
        <f>U34/U$37</f>
        <v>0.36848294383818697</v>
      </c>
      <c r="W34" s="123">
        <f>'E. Output'!G34</f>
        <v>389776.25415624987</v>
      </c>
      <c r="X34" s="154">
        <f>W34/W$37</f>
        <v>0.36735129209885276</v>
      </c>
      <c r="Y34" s="123">
        <f>'E. Output'!I34</f>
        <v>399520.66051015607</v>
      </c>
      <c r="Z34" s="154">
        <f>Y34/Y$37</f>
        <v>0.36622110036250882</v>
      </c>
      <c r="AA34" s="123">
        <f>'E. Output'!K34</f>
        <v>409508.67702290992</v>
      </c>
      <c r="AB34" s="122">
        <f>AA34/AA$37</f>
        <v>0.36509237916089599</v>
      </c>
      <c r="AC34" s="12">
        <v>0</v>
      </c>
      <c r="AD34" s="15" t="e">
        <f>AC34/AC$37</f>
        <v>#DIV/0!</v>
      </c>
      <c r="AE34" s="12">
        <v>0</v>
      </c>
      <c r="AF34" s="15" t="e">
        <f>AE34/AE$37</f>
        <v>#DIV/0!</v>
      </c>
      <c r="AG34" s="12">
        <v>0</v>
      </c>
      <c r="AH34" s="15" t="e">
        <f>AG34/AG$37</f>
        <v>#DIV/0!</v>
      </c>
      <c r="AI34" s="12">
        <v>0</v>
      </c>
      <c r="AJ34" s="15" t="e">
        <f>AI34/AI$37</f>
        <v>#DIV/0!</v>
      </c>
      <c r="AK34" s="12">
        <v>0</v>
      </c>
      <c r="AL34" s="15" t="e">
        <f>AK34/AK$37</f>
        <v>#DIV/0!</v>
      </c>
      <c r="AM34" s="12">
        <v>0</v>
      </c>
      <c r="AN34" s="15" t="e">
        <f>AM34/AM$37</f>
        <v>#DIV/0!</v>
      </c>
    </row>
    <row r="35" spans="1:40" ht="15" customHeight="1" thickBot="1" x14ac:dyDescent="0.25">
      <c r="A35" s="34"/>
      <c r="B35" s="130" t="s">
        <v>96</v>
      </c>
      <c r="C35" s="207">
        <f>C24</f>
        <v>104130</v>
      </c>
      <c r="D35" s="154">
        <f>C35/C$37</f>
        <v>8.5822442407973501E-2</v>
      </c>
      <c r="E35" s="207">
        <f>E24</f>
        <v>0</v>
      </c>
      <c r="F35" s="154">
        <f>E35/E$37</f>
        <v>0</v>
      </c>
      <c r="G35" s="207">
        <f>G24</f>
        <v>0</v>
      </c>
      <c r="H35" s="154">
        <f>G35/G$37</f>
        <v>0</v>
      </c>
      <c r="I35" s="131">
        <f>I24</f>
        <v>0</v>
      </c>
      <c r="J35" s="154">
        <f>I35/I$37</f>
        <v>0</v>
      </c>
      <c r="K35" s="131">
        <f>K24</f>
        <v>64104</v>
      </c>
      <c r="L35" s="154">
        <f>K35/K$37</f>
        <v>5.1199601291012038E-2</v>
      </c>
      <c r="M35" s="131">
        <f>M24</f>
        <v>0</v>
      </c>
      <c r="N35" s="154">
        <f>M35/M$37</f>
        <v>0</v>
      </c>
      <c r="O35" s="131">
        <f>O24</f>
        <v>0</v>
      </c>
      <c r="P35" s="154">
        <f>O35/O$37</f>
        <v>0</v>
      </c>
      <c r="Q35" s="34"/>
      <c r="R35" s="130" t="s">
        <v>96</v>
      </c>
      <c r="S35" s="123">
        <f>'E. Output'!C35</f>
        <v>0</v>
      </c>
      <c r="T35" s="154">
        <f>S35/S$37</f>
        <v>0</v>
      </c>
      <c r="U35" s="123">
        <f>'E. Output'!E35</f>
        <v>0</v>
      </c>
      <c r="V35" s="154">
        <f>U35/U$37</f>
        <v>0</v>
      </c>
      <c r="W35" s="123">
        <f>'E. Output'!G35</f>
        <v>0</v>
      </c>
      <c r="X35" s="154">
        <f>W35/W$37</f>
        <v>0</v>
      </c>
      <c r="Y35" s="123">
        <f>'E. Output'!I35</f>
        <v>0</v>
      </c>
      <c r="Z35" s="154">
        <f>Y35/Y$37</f>
        <v>0</v>
      </c>
      <c r="AA35" s="123">
        <f>'E. Output'!K35</f>
        <v>0</v>
      </c>
      <c r="AB35" s="122">
        <f>AA35/AA$37</f>
        <v>0</v>
      </c>
      <c r="AC35" s="24">
        <f>AC24</f>
        <v>0</v>
      </c>
      <c r="AD35" s="15" t="e">
        <f>AC35/AC$37</f>
        <v>#DIV/0!</v>
      </c>
      <c r="AE35" s="24">
        <f>AE24</f>
        <v>0</v>
      </c>
      <c r="AF35" s="15" t="e">
        <f>AE35/AE$37</f>
        <v>#DIV/0!</v>
      </c>
      <c r="AG35" s="24">
        <f>AG24</f>
        <v>0</v>
      </c>
      <c r="AH35" s="15" t="e">
        <f>AG35/AG$37</f>
        <v>#DIV/0!</v>
      </c>
      <c r="AI35" s="24">
        <f>AI24</f>
        <v>0</v>
      </c>
      <c r="AJ35" s="15" t="e">
        <f>AI35/AI$37</f>
        <v>#DIV/0!</v>
      </c>
      <c r="AK35" s="24">
        <f>AK24</f>
        <v>0</v>
      </c>
      <c r="AL35" s="15" t="e">
        <f>AK35/AK$37</f>
        <v>#DIV/0!</v>
      </c>
      <c r="AM35" s="24">
        <f>AM24</f>
        <v>0</v>
      </c>
      <c r="AN35" s="15" t="e">
        <f>AM35/AM$37</f>
        <v>#DIV/0!</v>
      </c>
    </row>
    <row r="36" spans="1:40" ht="15" customHeight="1" thickBot="1" x14ac:dyDescent="0.25">
      <c r="A36" s="34"/>
      <c r="B36" s="34" t="s">
        <v>30</v>
      </c>
      <c r="C36" s="207">
        <f>C34-C35</f>
        <v>560694</v>
      </c>
      <c r="D36" s="154">
        <f>C36/C$37</f>
        <v>0.46211589862187935</v>
      </c>
      <c r="E36" s="207">
        <f>E34-E35</f>
        <v>519283</v>
      </c>
      <c r="F36" s="154">
        <f>E36/E$37</f>
        <v>0.44251919520737643</v>
      </c>
      <c r="G36" s="207">
        <f>G34-G35</f>
        <v>592715</v>
      </c>
      <c r="H36" s="154">
        <f>G36/G$37</f>
        <v>0.4706257409170419</v>
      </c>
      <c r="I36" s="131">
        <f>I34-I35</f>
        <v>579202</v>
      </c>
      <c r="J36" s="154">
        <f>I36/I$37</f>
        <v>0.44677240449424332</v>
      </c>
      <c r="K36" s="131">
        <f>K34-K35</f>
        <v>596272</v>
      </c>
      <c r="L36" s="154">
        <f>K36/K$37</f>
        <v>0.47623999533561601</v>
      </c>
      <c r="M36" s="131">
        <f>M34-M35</f>
        <v>530133</v>
      </c>
      <c r="N36" s="154">
        <f>M36/M$37</f>
        <v>0.48455923484441327</v>
      </c>
      <c r="O36" s="136">
        <f>O34-O35</f>
        <v>361946</v>
      </c>
      <c r="P36" s="154">
        <f>O36/O$37</f>
        <v>0.37075058488996693</v>
      </c>
      <c r="Q36" s="34"/>
      <c r="R36" s="34" t="s">
        <v>30</v>
      </c>
      <c r="S36" s="123">
        <f>'E. Output'!C36</f>
        <v>370994.64999999997</v>
      </c>
      <c r="T36" s="154">
        <f>S36/S$37</f>
        <v>0.36961604498692635</v>
      </c>
      <c r="U36" s="123">
        <f>'E. Output'!E36</f>
        <v>380269.51624999993</v>
      </c>
      <c r="V36" s="154">
        <f>U36/U$37</f>
        <v>0.36848294383818697</v>
      </c>
      <c r="W36" s="123">
        <f>'E. Output'!G36</f>
        <v>389776.25415624987</v>
      </c>
      <c r="X36" s="154">
        <f>W36/W$37</f>
        <v>0.36735129209885276</v>
      </c>
      <c r="Y36" s="123">
        <f>'E. Output'!I36</f>
        <v>399520.66051015607</v>
      </c>
      <c r="Z36" s="154">
        <f>Y36/Y$37</f>
        <v>0.36622110036250882</v>
      </c>
      <c r="AA36" s="123">
        <f>'E. Output'!K36</f>
        <v>409508.67702290992</v>
      </c>
      <c r="AB36" s="122">
        <f>AA36/AA$37</f>
        <v>0.36509237916089599</v>
      </c>
      <c r="AC36" s="24">
        <f>AC34-AC35</f>
        <v>0</v>
      </c>
      <c r="AD36" s="15" t="e">
        <f>AC36/AC$37</f>
        <v>#DIV/0!</v>
      </c>
      <c r="AE36" s="24">
        <f>AE34-AE35</f>
        <v>0</v>
      </c>
      <c r="AF36" s="15" t="e">
        <f>AE36/AE$37</f>
        <v>#DIV/0!</v>
      </c>
      <c r="AG36" s="24">
        <f>AG34-AG35</f>
        <v>0</v>
      </c>
      <c r="AH36" s="15" t="e">
        <f>AG36/AG$37</f>
        <v>#DIV/0!</v>
      </c>
      <c r="AI36" s="24">
        <f>AI34-AI35</f>
        <v>0</v>
      </c>
      <c r="AJ36" s="15" t="e">
        <f>AI36/AI$37</f>
        <v>#DIV/0!</v>
      </c>
      <c r="AK36" s="24">
        <f>AK34-AK35</f>
        <v>0</v>
      </c>
      <c r="AL36" s="15" t="e">
        <f>AK36/AK$37</f>
        <v>#DIV/0!</v>
      </c>
      <c r="AM36" s="24">
        <f>AM34-AM35</f>
        <v>0</v>
      </c>
      <c r="AN36" s="15" t="e">
        <f>AM36/AM$37</f>
        <v>#DIV/0!</v>
      </c>
    </row>
    <row r="37" spans="1:40" s="7" customFormat="1" ht="15" customHeight="1" thickBot="1" x14ac:dyDescent="0.25">
      <c r="A37" s="132" t="s">
        <v>68</v>
      </c>
      <c r="B37" s="132"/>
      <c r="C37" s="208">
        <f>C33+C36</f>
        <v>1213319</v>
      </c>
      <c r="D37" s="157">
        <f>C37/C$37</f>
        <v>1</v>
      </c>
      <c r="E37" s="208">
        <f>E33+E36</f>
        <v>1173470</v>
      </c>
      <c r="F37" s="157">
        <f>E37/E$37</f>
        <v>1</v>
      </c>
      <c r="G37" s="208">
        <f>G33+G36</f>
        <v>1259419</v>
      </c>
      <c r="H37" s="157">
        <f>G37/G$37</f>
        <v>1</v>
      </c>
      <c r="I37" s="208">
        <f>I33+I36</f>
        <v>1296414</v>
      </c>
      <c r="J37" s="157">
        <f>I37/I$37</f>
        <v>1</v>
      </c>
      <c r="K37" s="133">
        <f>K33+K36</f>
        <v>1252041</v>
      </c>
      <c r="L37" s="157">
        <f>K37/K$37</f>
        <v>1</v>
      </c>
      <c r="M37" s="133">
        <f>M33+M36</f>
        <v>1094052</v>
      </c>
      <c r="N37" s="157">
        <v>1</v>
      </c>
      <c r="O37" s="133">
        <f>O33+O36</f>
        <v>976252</v>
      </c>
      <c r="P37" s="157">
        <f>O37/O$37</f>
        <v>1</v>
      </c>
      <c r="Q37" s="132" t="s">
        <v>68</v>
      </c>
      <c r="R37" s="132"/>
      <c r="S37" s="137">
        <f>S33+S36</f>
        <v>1003729.8300000001</v>
      </c>
      <c r="T37" s="158">
        <f>S37/S$37</f>
        <v>1</v>
      </c>
      <c r="U37" s="137">
        <f>U33+U36</f>
        <v>1031986.75165</v>
      </c>
      <c r="V37" s="158">
        <f>U37/U$37</f>
        <v>1</v>
      </c>
      <c r="W37" s="137">
        <f>W33+W36</f>
        <v>1061045.0066182499</v>
      </c>
      <c r="X37" s="158">
        <f>W37/W$37</f>
        <v>1</v>
      </c>
      <c r="Y37" s="137">
        <f>Y33+Y36</f>
        <v>1090927.4755460164</v>
      </c>
      <c r="Z37" s="158">
        <f>Y37/Y$37</f>
        <v>1</v>
      </c>
      <c r="AA37" s="137">
        <f>AA33+AA36</f>
        <v>1121657.696509846</v>
      </c>
      <c r="AB37" s="138">
        <v>1</v>
      </c>
      <c r="AC37" s="8">
        <f>AC33+AC36</f>
        <v>0</v>
      </c>
      <c r="AD37" s="16" t="e">
        <f>AC37/AC$37</f>
        <v>#DIV/0!</v>
      </c>
      <c r="AE37" s="8">
        <f>AE33+AE36</f>
        <v>0</v>
      </c>
      <c r="AF37" s="16" t="e">
        <f>AE37/AE$37</f>
        <v>#DIV/0!</v>
      </c>
      <c r="AG37" s="8">
        <f>AG33+AG36</f>
        <v>0</v>
      </c>
      <c r="AH37" s="16" t="e">
        <f>AG37/AG$37</f>
        <v>#DIV/0!</v>
      </c>
      <c r="AI37" s="8">
        <f>AI33+AI36</f>
        <v>0</v>
      </c>
      <c r="AJ37" s="16" t="e">
        <f>AI37/AI$37</f>
        <v>#DIV/0!</v>
      </c>
      <c r="AK37" s="8">
        <f>AK33+AK36</f>
        <v>0</v>
      </c>
      <c r="AL37" s="16" t="e">
        <f>AK37/AK$37</f>
        <v>#DIV/0!</v>
      </c>
      <c r="AM37" s="8">
        <f>AM33+AM36</f>
        <v>0</v>
      </c>
      <c r="AN37" s="16">
        <v>1</v>
      </c>
    </row>
    <row r="38" spans="1:40" s="7" customFormat="1" ht="12" customHeight="1" thickTop="1" x14ac:dyDescent="0.2">
      <c r="A38" s="35"/>
      <c r="B38" s="35"/>
      <c r="C38" s="139"/>
      <c r="D38" s="140"/>
      <c r="E38" s="139"/>
      <c r="F38" s="140"/>
      <c r="G38" s="208"/>
      <c r="H38" s="140"/>
      <c r="I38" s="208"/>
      <c r="J38" s="140"/>
      <c r="K38" s="139"/>
      <c r="L38" s="140"/>
      <c r="M38" s="139"/>
      <c r="N38" s="140"/>
      <c r="O38" s="139"/>
      <c r="P38" s="140"/>
      <c r="Q38" s="35"/>
      <c r="R38" s="35"/>
      <c r="S38" s="139"/>
      <c r="T38" s="140"/>
      <c r="U38" s="139"/>
      <c r="V38" s="140"/>
      <c r="W38" s="139"/>
      <c r="X38" s="140"/>
      <c r="Y38" s="139"/>
      <c r="Z38" s="140"/>
      <c r="AA38" s="139"/>
      <c r="AB38" s="140"/>
      <c r="AC38" s="8"/>
      <c r="AD38" s="16"/>
      <c r="AE38" s="8"/>
      <c r="AF38" s="16"/>
      <c r="AG38" s="8"/>
      <c r="AH38" s="16"/>
      <c r="AI38" s="8"/>
      <c r="AJ38" s="16"/>
      <c r="AK38" s="8"/>
      <c r="AL38" s="16"/>
      <c r="AM38" s="8"/>
      <c r="AN38" s="16"/>
    </row>
    <row r="39" spans="1:40" ht="15" customHeight="1" x14ac:dyDescent="0.2">
      <c r="A39" s="35" t="s">
        <v>65</v>
      </c>
      <c r="B39" s="34"/>
      <c r="C39" s="139">
        <f>C29-C37</f>
        <v>12798</v>
      </c>
      <c r="D39" s="122"/>
      <c r="E39" s="139">
        <f>E29-E37</f>
        <v>26420</v>
      </c>
      <c r="F39" s="141"/>
      <c r="G39" s="208">
        <f>G29-G37</f>
        <v>9650</v>
      </c>
      <c r="H39" s="141"/>
      <c r="I39" s="208">
        <f>I29-I37</f>
        <v>1694</v>
      </c>
      <c r="J39" s="141"/>
      <c r="K39" s="139">
        <f>K29-K37</f>
        <v>30764</v>
      </c>
      <c r="L39" s="141"/>
      <c r="M39" s="139">
        <f>M29-M37</f>
        <v>94522</v>
      </c>
      <c r="N39" s="141"/>
      <c r="O39" s="139">
        <f>O29-O37</f>
        <v>15518</v>
      </c>
      <c r="P39" s="122"/>
      <c r="Q39" s="35" t="s">
        <v>65</v>
      </c>
      <c r="R39" s="34"/>
      <c r="S39" s="139">
        <f>S29-S37</f>
        <v>374897.97790175001</v>
      </c>
      <c r="T39" s="141"/>
      <c r="U39" s="139">
        <f>U29-U37</f>
        <v>345063.28364106989</v>
      </c>
      <c r="V39" s="141"/>
      <c r="W39" s="139">
        <f>W29-W37</f>
        <v>336683.0602628116</v>
      </c>
      <c r="X39" s="141"/>
      <c r="Y39" s="139">
        <f>Y29-Y37</f>
        <v>322671.61028822325</v>
      </c>
      <c r="Z39" s="141"/>
      <c r="AA39" s="139">
        <f>AA29-AA37</f>
        <v>308145.11155860638</v>
      </c>
      <c r="AB39" s="141"/>
      <c r="AC39" s="8">
        <f>AC29-AC37</f>
        <v>0</v>
      </c>
      <c r="AD39" s="15"/>
      <c r="AE39" s="8">
        <f>AE29-AE37</f>
        <v>0</v>
      </c>
      <c r="AF39" s="6"/>
      <c r="AG39" s="8">
        <f>AG29-AG37</f>
        <v>0</v>
      </c>
      <c r="AH39" s="6"/>
      <c r="AI39" s="8">
        <f>AI29-AI37</f>
        <v>0</v>
      </c>
      <c r="AJ39" s="6"/>
      <c r="AK39" s="8">
        <f>AK29-AK37</f>
        <v>0</v>
      </c>
      <c r="AL39" s="6"/>
      <c r="AM39" s="8">
        <f>AM29-AM37</f>
        <v>0</v>
      </c>
      <c r="AN39" s="6"/>
    </row>
    <row r="40" spans="1:40" ht="16" customHeight="1" thickBot="1" x14ac:dyDescent="0.25">
      <c r="A40" s="35"/>
      <c r="B40" s="34"/>
      <c r="C40" s="139"/>
      <c r="D40" s="122"/>
      <c r="E40" s="139"/>
      <c r="F40" s="141"/>
      <c r="G40" s="208"/>
      <c r="H40" s="141"/>
      <c r="I40" s="208"/>
      <c r="J40" s="141"/>
      <c r="K40" s="139"/>
      <c r="L40" s="141"/>
      <c r="M40" s="139"/>
      <c r="N40" s="141"/>
      <c r="O40" s="139"/>
      <c r="P40" s="122"/>
      <c r="Q40" s="35"/>
      <c r="R40" s="35" t="s">
        <v>192</v>
      </c>
      <c r="S40" s="286">
        <f>(0.05*S29)-S39</f>
        <v>-305966.58750666247</v>
      </c>
      <c r="T40" s="141"/>
      <c r="U40" s="286">
        <f>(0.05*U29)-U39</f>
        <v>-276210.78187651641</v>
      </c>
      <c r="V40" s="141"/>
      <c r="W40" s="286">
        <f>(0.05*W29)-W39</f>
        <v>-266796.65691875853</v>
      </c>
      <c r="X40" s="141"/>
      <c r="Y40" s="286">
        <f>(0.05*Y29)-Y39</f>
        <v>-251991.65599651128</v>
      </c>
      <c r="Z40" s="141"/>
      <c r="AA40" s="286">
        <f>(0.05*AA29)-AA39</f>
        <v>-236654.97115518374</v>
      </c>
      <c r="AB40" s="141"/>
      <c r="AC40" s="8"/>
      <c r="AD40" s="15"/>
      <c r="AE40" s="8"/>
      <c r="AF40" s="6"/>
      <c r="AG40" s="8"/>
      <c r="AH40" s="6"/>
      <c r="AI40" s="8"/>
      <c r="AJ40" s="6"/>
      <c r="AK40" s="8"/>
      <c r="AL40" s="6"/>
      <c r="AM40" s="8"/>
      <c r="AN40" s="6"/>
    </row>
    <row r="41" spans="1:40" ht="15" customHeight="1" thickBot="1" x14ac:dyDescent="0.25">
      <c r="A41" s="35" t="s">
        <v>9</v>
      </c>
      <c r="B41" s="34"/>
      <c r="C41" s="208">
        <v>-437826</v>
      </c>
      <c r="D41" s="122"/>
      <c r="E41" s="139">
        <f>C44</f>
        <v>-441007</v>
      </c>
      <c r="F41" s="141"/>
      <c r="G41" s="208">
        <f>E44</f>
        <v>-24199.909999999974</v>
      </c>
      <c r="H41" s="141"/>
      <c r="I41" s="208">
        <f>G44</f>
        <v>-31575.909999999974</v>
      </c>
      <c r="J41" s="141"/>
      <c r="K41" s="139">
        <f>I44</f>
        <v>-22602.909999999974</v>
      </c>
      <c r="L41" s="141"/>
      <c r="M41" s="139">
        <f>K44</f>
        <v>250762.09000000003</v>
      </c>
      <c r="N41" s="141"/>
      <c r="O41" s="142">
        <f>M44</f>
        <v>357474.09</v>
      </c>
      <c r="P41" s="122"/>
      <c r="Q41" s="35" t="s">
        <v>9</v>
      </c>
      <c r="R41" s="34"/>
      <c r="S41" s="139">
        <f>O44</f>
        <v>372992.09</v>
      </c>
      <c r="T41" s="141"/>
      <c r="U41" s="139">
        <f>S44</f>
        <v>747890.0679017501</v>
      </c>
      <c r="V41" s="141"/>
      <c r="W41" s="139">
        <f>U44</f>
        <v>1092953.35154282</v>
      </c>
      <c r="X41" s="141"/>
      <c r="Y41" s="139">
        <f>W44</f>
        <v>1429636.4118056316</v>
      </c>
      <c r="Z41" s="141"/>
      <c r="AA41" s="139">
        <f>Y44</f>
        <v>1752308.0220938548</v>
      </c>
      <c r="AB41" s="141"/>
      <c r="AC41" s="11">
        <v>0</v>
      </c>
      <c r="AD41" s="15"/>
      <c r="AE41" s="8">
        <f>AC44</f>
        <v>0</v>
      </c>
      <c r="AF41" s="6"/>
      <c r="AG41" s="8">
        <f>AE44</f>
        <v>0</v>
      </c>
      <c r="AH41" s="6"/>
      <c r="AI41" s="8">
        <f>AG44</f>
        <v>0</v>
      </c>
      <c r="AJ41" s="6"/>
      <c r="AK41" s="8">
        <f>AI44</f>
        <v>0</v>
      </c>
      <c r="AL41" s="6"/>
      <c r="AM41" s="8">
        <f>AK44</f>
        <v>0</v>
      </c>
      <c r="AN41" s="6"/>
    </row>
    <row r="42" spans="1:40" s="7" customFormat="1" ht="15" customHeight="1" thickBot="1" x14ac:dyDescent="0.25">
      <c r="A42" s="35" t="s">
        <v>66</v>
      </c>
      <c r="B42" s="35"/>
      <c r="C42" s="216">
        <v>0</v>
      </c>
      <c r="D42" s="35"/>
      <c r="E42" s="216">
        <v>0</v>
      </c>
      <c r="F42" s="35"/>
      <c r="G42" s="129">
        <f>-18026+1000</f>
        <v>-17026</v>
      </c>
      <c r="H42" s="35"/>
      <c r="I42" s="219">
        <f>-51</f>
        <v>-51</v>
      </c>
      <c r="J42" s="35"/>
      <c r="K42" s="219">
        <f>-7400+1</f>
        <v>-7399</v>
      </c>
      <c r="L42" s="35"/>
      <c r="M42" s="219">
        <f>-14810</f>
        <v>-14810</v>
      </c>
      <c r="N42" s="143"/>
      <c r="O42" s="129">
        <v>0</v>
      </c>
      <c r="P42" s="35"/>
      <c r="Q42" s="35" t="s">
        <v>66</v>
      </c>
      <c r="R42" s="35"/>
      <c r="S42" s="144">
        <v>0</v>
      </c>
      <c r="T42" s="35"/>
      <c r="U42" s="144">
        <v>0</v>
      </c>
      <c r="V42" s="35"/>
      <c r="W42" s="144">
        <v>0</v>
      </c>
      <c r="X42" s="35"/>
      <c r="Y42" s="144">
        <v>0</v>
      </c>
      <c r="Z42" s="35"/>
      <c r="AA42" s="145"/>
      <c r="AB42" s="143"/>
      <c r="AC42" s="12">
        <v>0</v>
      </c>
      <c r="AE42" s="12">
        <v>0</v>
      </c>
      <c r="AG42" s="12">
        <v>0</v>
      </c>
      <c r="AI42" s="12">
        <v>0</v>
      </c>
      <c r="AK42" s="12">
        <v>0</v>
      </c>
      <c r="AN42" s="9"/>
    </row>
    <row r="43" spans="1:40" ht="15" customHeight="1" thickBot="1" x14ac:dyDescent="0.25">
      <c r="A43" s="35" t="s">
        <v>67</v>
      </c>
      <c r="B43" s="34"/>
      <c r="C43" s="216">
        <f>-15977-2</f>
        <v>-15979</v>
      </c>
      <c r="D43" s="34"/>
      <c r="E43" s="216">
        <v>390387.09</v>
      </c>
      <c r="F43" s="34"/>
      <c r="G43" s="129">
        <v>0</v>
      </c>
      <c r="H43" s="34"/>
      <c r="I43" s="290">
        <f>7330</f>
        <v>7330</v>
      </c>
      <c r="J43" s="34"/>
      <c r="K43" s="288">
        <v>250000</v>
      </c>
      <c r="L43" s="34"/>
      <c r="M43" s="129">
        <v>27000</v>
      </c>
      <c r="N43" s="34"/>
      <c r="O43" s="129">
        <v>0</v>
      </c>
      <c r="P43" s="34"/>
      <c r="Q43" s="35" t="s">
        <v>67</v>
      </c>
      <c r="R43" s="34"/>
      <c r="S43" s="144">
        <f>'E. Output'!C40</f>
        <v>0</v>
      </c>
      <c r="T43" s="34"/>
      <c r="U43" s="144">
        <f>'E. Output'!E40</f>
        <v>0</v>
      </c>
      <c r="V43" s="34"/>
      <c r="W43" s="144">
        <f>'E. Output'!G40</f>
        <v>0</v>
      </c>
      <c r="X43" s="34"/>
      <c r="Y43" s="144">
        <f>'E. Output'!I40</f>
        <v>0</v>
      </c>
      <c r="Z43" s="34"/>
      <c r="AA43" s="146">
        <f>'E. Output'!K40</f>
        <v>0</v>
      </c>
      <c r="AB43" s="34"/>
      <c r="AC43" s="12">
        <v>0</v>
      </c>
      <c r="AE43" s="12">
        <v>0</v>
      </c>
      <c r="AG43" s="12">
        <v>0</v>
      </c>
      <c r="AI43" s="12">
        <v>0</v>
      </c>
      <c r="AK43" s="12">
        <v>0</v>
      </c>
      <c r="AM43" s="37"/>
    </row>
    <row r="44" spans="1:40" ht="16" x14ac:dyDescent="0.2">
      <c r="A44" s="35" t="s">
        <v>10</v>
      </c>
      <c r="B44" s="35"/>
      <c r="C44" s="172">
        <f>C39+C41+C42+C43</f>
        <v>-441007</v>
      </c>
      <c r="D44" s="148"/>
      <c r="E44" s="147">
        <f>E39+E41+E42+E43</f>
        <v>-24199.909999999974</v>
      </c>
      <c r="F44" s="149"/>
      <c r="G44" s="147">
        <f>G39+G41+G42+G43</f>
        <v>-31575.909999999974</v>
      </c>
      <c r="H44" s="149"/>
      <c r="I44" s="147">
        <f>I39+I41+I42+I43</f>
        <v>-22602.909999999974</v>
      </c>
      <c r="J44" s="149"/>
      <c r="K44" s="147">
        <f>K39+K41+K42+K43</f>
        <v>250762.09000000003</v>
      </c>
      <c r="L44" s="149"/>
      <c r="M44" s="147">
        <f>M39+M41+M42+M43</f>
        <v>357474.09</v>
      </c>
      <c r="N44" s="34"/>
      <c r="O44" s="147">
        <f>O39+O41+O42+O43</f>
        <v>372992.09</v>
      </c>
      <c r="P44" s="148"/>
      <c r="Q44" s="35" t="s">
        <v>10</v>
      </c>
      <c r="R44" s="35"/>
      <c r="S44" s="147">
        <f>S39+S41+S42-S43</f>
        <v>747890.0679017501</v>
      </c>
      <c r="T44" s="149"/>
      <c r="U44" s="147">
        <f>U39+U41+U42-U43</f>
        <v>1092953.35154282</v>
      </c>
      <c r="V44" s="149"/>
      <c r="W44" s="147">
        <f>W39+W41+W42-W43</f>
        <v>1429636.4118056316</v>
      </c>
      <c r="X44" s="149"/>
      <c r="Y44" s="147">
        <f>Y39+Y41+Y42-Y43</f>
        <v>1752308.0220938548</v>
      </c>
      <c r="Z44" s="149"/>
      <c r="AA44" s="147">
        <f>AA39+AA41+AA42-AA43</f>
        <v>2060453.1336524612</v>
      </c>
      <c r="AB44" s="34"/>
      <c r="AC44" s="30">
        <f>AC39+AC41+AC42+AC43</f>
        <v>0</v>
      </c>
      <c r="AD44" s="31"/>
      <c r="AE44" s="30">
        <f>AE39+AE41+AE42+AE43</f>
        <v>0</v>
      </c>
      <c r="AF44" s="32"/>
      <c r="AG44" s="30">
        <f>AG39+AG41+AG42+AG43</f>
        <v>0</v>
      </c>
      <c r="AH44" s="32"/>
      <c r="AI44" s="30">
        <f>AI39+AI41+AI42+AI43</f>
        <v>0</v>
      </c>
      <c r="AJ44" s="32"/>
      <c r="AK44" s="30">
        <f>AK39+AK41+AK42+AK43</f>
        <v>0</v>
      </c>
      <c r="AL44" s="32"/>
      <c r="AM44" s="30">
        <f>AM39+AM41+AM42+AM43</f>
        <v>0</v>
      </c>
    </row>
    <row r="45" spans="1:40" ht="26" x14ac:dyDescent="0.4">
      <c r="A45" s="35"/>
      <c r="B45" s="35"/>
      <c r="C45" s="194" t="str">
        <f>Setup!B6&amp;" Membership History"</f>
        <v>XXX Council Membership History</v>
      </c>
      <c r="D45" s="148"/>
      <c r="E45" s="147"/>
      <c r="F45" s="149"/>
      <c r="G45" s="147"/>
      <c r="H45" s="149"/>
      <c r="I45" s="147"/>
      <c r="J45" s="149"/>
      <c r="K45" s="147"/>
      <c r="L45" s="149"/>
      <c r="M45" s="147"/>
      <c r="N45" s="34"/>
      <c r="O45" s="147"/>
      <c r="P45" s="148"/>
      <c r="Q45" s="35"/>
      <c r="R45" s="35"/>
      <c r="S45" s="194" t="str">
        <f>Setup!B6&amp;" Membership Plan"</f>
        <v>XXX Council Membership Plan</v>
      </c>
      <c r="T45" s="149"/>
      <c r="U45" s="147"/>
      <c r="V45" s="149"/>
      <c r="W45" s="147"/>
      <c r="X45" s="149"/>
      <c r="Y45" s="147"/>
      <c r="Z45" s="149"/>
      <c r="AA45" s="147"/>
      <c r="AB45" s="34"/>
      <c r="AC45" s="30"/>
      <c r="AD45" s="31"/>
      <c r="AE45" s="30"/>
      <c r="AF45" s="32"/>
      <c r="AG45" s="30"/>
      <c r="AH45" s="32"/>
      <c r="AI45" s="30"/>
      <c r="AJ45" s="32"/>
      <c r="AK45" s="30"/>
      <c r="AL45" s="32"/>
      <c r="AM45" s="30"/>
    </row>
    <row r="46" spans="1:40" ht="16" x14ac:dyDescent="0.2">
      <c r="A46" s="35"/>
      <c r="B46" s="35"/>
      <c r="C46" s="45"/>
      <c r="D46" s="148"/>
      <c r="E46" s="45">
        <f>E4</f>
        <v>2015</v>
      </c>
      <c r="F46" s="45"/>
      <c r="G46" s="45">
        <f>G4</f>
        <v>2016</v>
      </c>
      <c r="H46" s="45"/>
      <c r="I46" s="45">
        <f>I4</f>
        <v>2017</v>
      </c>
      <c r="J46" s="45"/>
      <c r="K46" s="45">
        <f>K4</f>
        <v>2018</v>
      </c>
      <c r="L46" s="45"/>
      <c r="M46" s="45">
        <f>M4</f>
        <v>2019</v>
      </c>
      <c r="N46" s="45"/>
      <c r="O46" s="45">
        <f>O4</f>
        <v>2020</v>
      </c>
      <c r="P46" s="148"/>
      <c r="Q46" s="35"/>
      <c r="R46" s="35"/>
      <c r="S46" s="45">
        <f>S4</f>
        <v>2021</v>
      </c>
      <c r="T46" s="45"/>
      <c r="U46" s="45">
        <f>U4</f>
        <v>2022</v>
      </c>
      <c r="V46" s="45"/>
      <c r="W46" s="45">
        <f>W4</f>
        <v>2023</v>
      </c>
      <c r="X46" s="45"/>
      <c r="Y46" s="45">
        <f>Y4</f>
        <v>2024</v>
      </c>
      <c r="Z46" s="45"/>
      <c r="AA46" s="45">
        <f>AA4</f>
        <v>2025</v>
      </c>
      <c r="AB46" s="34"/>
      <c r="AC46" s="30"/>
      <c r="AD46" s="31"/>
      <c r="AE46" s="30"/>
      <c r="AF46" s="32"/>
      <c r="AG46" s="30"/>
      <c r="AH46" s="32"/>
      <c r="AI46" s="30"/>
      <c r="AJ46" s="32"/>
      <c r="AK46" s="30"/>
      <c r="AL46" s="32"/>
      <c r="AM46" s="30"/>
    </row>
    <row r="47" spans="1:40" ht="16" customHeight="1" x14ac:dyDescent="0.2">
      <c r="A47" s="34"/>
      <c r="B47" s="34"/>
      <c r="C47" s="53"/>
      <c r="D47" s="34"/>
      <c r="E47" s="191" t="s">
        <v>97</v>
      </c>
      <c r="F47" s="153"/>
      <c r="G47" s="191" t="s">
        <v>97</v>
      </c>
      <c r="H47" s="153" t="s">
        <v>32</v>
      </c>
      <c r="I47" s="191" t="s">
        <v>97</v>
      </c>
      <c r="J47" s="153" t="s">
        <v>32</v>
      </c>
      <c r="K47" s="191" t="s">
        <v>97</v>
      </c>
      <c r="L47" s="153" t="s">
        <v>32</v>
      </c>
      <c r="M47" s="191" t="s">
        <v>97</v>
      </c>
      <c r="N47" s="153" t="s">
        <v>32</v>
      </c>
      <c r="O47" s="191" t="s">
        <v>98</v>
      </c>
      <c r="P47" s="180" t="s">
        <v>32</v>
      </c>
      <c r="Q47" s="34"/>
      <c r="R47" s="34"/>
      <c r="S47" s="119" t="s">
        <v>136</v>
      </c>
      <c r="T47" s="153" t="s">
        <v>32</v>
      </c>
      <c r="U47" s="119" t="s">
        <v>136</v>
      </c>
      <c r="V47" s="153" t="s">
        <v>32</v>
      </c>
      <c r="W47" s="119" t="s">
        <v>136</v>
      </c>
      <c r="X47" s="153" t="s">
        <v>32</v>
      </c>
      <c r="Y47" s="119" t="s">
        <v>136</v>
      </c>
      <c r="Z47" s="153" t="s">
        <v>32</v>
      </c>
      <c r="AA47" s="119" t="s">
        <v>136</v>
      </c>
      <c r="AB47" s="34"/>
    </row>
    <row r="48" spans="1:40" ht="16" customHeight="1" x14ac:dyDescent="0.2">
      <c r="A48" s="35" t="s">
        <v>138</v>
      </c>
      <c r="B48" s="34"/>
      <c r="D48" s="150"/>
      <c r="E48" s="150"/>
      <c r="F48" s="181"/>
      <c r="G48" s="150"/>
      <c r="H48" s="181" t="s">
        <v>149</v>
      </c>
      <c r="I48" s="150"/>
      <c r="J48" s="181" t="s">
        <v>149</v>
      </c>
      <c r="K48" s="150"/>
      <c r="L48" s="181" t="s">
        <v>149</v>
      </c>
      <c r="M48" s="151"/>
      <c r="N48" s="181" t="s">
        <v>149</v>
      </c>
      <c r="O48" s="34"/>
      <c r="P48" s="181" t="s">
        <v>149</v>
      </c>
      <c r="Q48" s="35" t="s">
        <v>138</v>
      </c>
      <c r="R48" s="34"/>
      <c r="S48" s="34"/>
      <c r="T48" s="181" t="s">
        <v>149</v>
      </c>
      <c r="U48" s="34"/>
      <c r="V48" s="181" t="s">
        <v>149</v>
      </c>
      <c r="W48" s="34"/>
      <c r="X48" s="181" t="s">
        <v>149</v>
      </c>
      <c r="Y48" s="34"/>
      <c r="Z48" s="181" t="s">
        <v>149</v>
      </c>
      <c r="AA48" s="34"/>
      <c r="AB48" s="34"/>
    </row>
    <row r="49" spans="1:28" ht="16" customHeight="1" x14ac:dyDescent="0.2">
      <c r="A49" s="34"/>
      <c r="B49" s="34" t="s">
        <v>142</v>
      </c>
      <c r="C49"/>
      <c r="D49" s="34"/>
      <c r="E49" s="160">
        <f>'Membership History and Planning'!C10</f>
        <v>2435</v>
      </c>
      <c r="F49" s="182"/>
      <c r="G49" s="160">
        <f>'Membership History and Planning'!D10</f>
        <v>2380</v>
      </c>
      <c r="H49" s="182">
        <f t="shared" ref="H49:H54" si="19">(G49/E49-1)</f>
        <v>-2.2587268993839782E-2</v>
      </c>
      <c r="I49" s="160">
        <f>'Membership History and Planning'!E10</f>
        <v>2401</v>
      </c>
      <c r="J49" s="182">
        <f t="shared" ref="J49:J54" si="20">(I49/G49-1)</f>
        <v>8.8235294117646745E-3</v>
      </c>
      <c r="K49" s="160">
        <f>'Membership History and Planning'!F10</f>
        <v>2116</v>
      </c>
      <c r="L49" s="182">
        <f t="shared" ref="L49:L54" si="21">(K49/I49-1)</f>
        <v>-0.11870054144106623</v>
      </c>
      <c r="M49" s="160">
        <f>'Membership History and Planning'!G10</f>
        <v>1828</v>
      </c>
      <c r="N49" s="177">
        <f t="shared" ref="N49:N54" si="22">(M49/K49-1)</f>
        <v>-0.13610586011342152</v>
      </c>
      <c r="O49" s="160">
        <f>'Membership History and Planning'!K10</f>
        <v>1848</v>
      </c>
      <c r="P49" s="177">
        <f t="shared" ref="P49:P54" si="23">(O49/M49-1)</f>
        <v>1.0940919037199182E-2</v>
      </c>
      <c r="Q49" s="34"/>
      <c r="R49" s="34" t="s">
        <v>142</v>
      </c>
      <c r="S49" s="160">
        <f>'Membership History and Planning'!Q10</f>
        <v>1860</v>
      </c>
      <c r="T49" s="177">
        <f t="shared" ref="T49:T54" si="24">(S49/O49-1)</f>
        <v>6.4935064935065512E-3</v>
      </c>
      <c r="U49" s="160">
        <f>'Membership History and Planning'!U10</f>
        <v>1872</v>
      </c>
      <c r="V49" s="177">
        <f t="shared" ref="V49:V54" si="25">(U49/S49-1)</f>
        <v>6.4516129032257119E-3</v>
      </c>
      <c r="W49" s="160">
        <f>'Membership History and Planning'!Y10</f>
        <v>1884</v>
      </c>
      <c r="X49" s="177">
        <f t="shared" ref="X49:X54" si="26">(W49/U49-1)</f>
        <v>6.4102564102563875E-3</v>
      </c>
      <c r="Y49" s="160">
        <f>'Membership History and Planning'!AC10</f>
        <v>1896</v>
      </c>
      <c r="Z49" s="177">
        <f t="shared" ref="Z49:Z54" si="27">(Y49/W49-1)</f>
        <v>6.3694267515923553E-3</v>
      </c>
      <c r="AA49" s="160">
        <f>'Membership History and Planning'!AG10</f>
        <v>1908</v>
      </c>
      <c r="AB49" s="34"/>
    </row>
    <row r="50" spans="1:28" ht="16" customHeight="1" x14ac:dyDescent="0.2">
      <c r="A50" s="34"/>
      <c r="B50" s="34" t="s">
        <v>141</v>
      </c>
      <c r="C50"/>
      <c r="D50" s="34"/>
      <c r="E50" s="160">
        <f>'Membership History and Planning'!C12</f>
        <v>2422</v>
      </c>
      <c r="F50" s="182"/>
      <c r="G50" s="160">
        <f>'Membership History and Planning'!D12</f>
        <v>2413</v>
      </c>
      <c r="H50" s="182">
        <f t="shared" si="19"/>
        <v>-3.7159372419488523E-3</v>
      </c>
      <c r="I50" s="160">
        <f>'Membership History and Planning'!E12</f>
        <v>2377</v>
      </c>
      <c r="J50" s="182">
        <f t="shared" si="20"/>
        <v>-1.4919187733112294E-2</v>
      </c>
      <c r="K50" s="160">
        <f>'Membership History and Planning'!F12</f>
        <v>2245</v>
      </c>
      <c r="L50" s="182">
        <f t="shared" si="21"/>
        <v>-5.5532183424484627E-2</v>
      </c>
      <c r="M50" s="160">
        <f>'Membership History and Planning'!G12</f>
        <v>2066</v>
      </c>
      <c r="N50" s="177">
        <f t="shared" si="22"/>
        <v>-7.9732739420935395E-2</v>
      </c>
      <c r="O50" s="160">
        <f>'Membership History and Planning'!K12</f>
        <v>2084</v>
      </c>
      <c r="P50" s="177">
        <f t="shared" si="23"/>
        <v>8.7124878993223298E-3</v>
      </c>
      <c r="Q50" s="34"/>
      <c r="R50" s="34" t="s">
        <v>141</v>
      </c>
      <c r="S50" s="160">
        <f>'Membership History and Planning'!Q12</f>
        <v>2096</v>
      </c>
      <c r="T50" s="177">
        <f t="shared" si="24"/>
        <v>5.7581573896352545E-3</v>
      </c>
      <c r="U50" s="160">
        <f>'Membership History and Planning'!U12</f>
        <v>2108</v>
      </c>
      <c r="V50" s="177">
        <f t="shared" si="25"/>
        <v>5.7251908396946938E-3</v>
      </c>
      <c r="W50" s="160">
        <f>'Membership History and Planning'!Y12</f>
        <v>2120</v>
      </c>
      <c r="X50" s="177">
        <f t="shared" si="26"/>
        <v>5.6925996204932883E-3</v>
      </c>
      <c r="Y50" s="160">
        <f>'Membership History and Planning'!AC12</f>
        <v>2132</v>
      </c>
      <c r="Z50" s="177">
        <f t="shared" si="27"/>
        <v>5.6603773584906758E-3</v>
      </c>
      <c r="AA50" s="160">
        <f>'Membership History and Planning'!AG12</f>
        <v>2144</v>
      </c>
      <c r="AB50" s="34"/>
    </row>
    <row r="51" spans="1:28" ht="16" customHeight="1" x14ac:dyDescent="0.2">
      <c r="A51" s="34"/>
      <c r="B51" s="34" t="s">
        <v>110</v>
      </c>
      <c r="C51"/>
      <c r="D51" s="34"/>
      <c r="E51" s="160">
        <f>'Membership History and Planning'!C14</f>
        <v>1159</v>
      </c>
      <c r="F51" s="182"/>
      <c r="G51" s="160">
        <f>'Membership History and Planning'!D14</f>
        <v>982</v>
      </c>
      <c r="H51" s="182">
        <f t="shared" si="19"/>
        <v>-0.15271786022433131</v>
      </c>
      <c r="I51" s="160">
        <f>'Membership History and Planning'!E14</f>
        <v>1014</v>
      </c>
      <c r="J51" s="182">
        <f t="shared" si="20"/>
        <v>3.2586558044806591E-2</v>
      </c>
      <c r="K51" s="160">
        <f>'Membership History and Planning'!F14</f>
        <v>563</v>
      </c>
      <c r="L51" s="182">
        <f t="shared" si="21"/>
        <v>-0.44477317554240636</v>
      </c>
      <c r="M51" s="160">
        <f>'Membership History and Planning'!G14</f>
        <v>453</v>
      </c>
      <c r="N51" s="177">
        <f t="shared" si="22"/>
        <v>-0.19538188277087032</v>
      </c>
      <c r="O51" s="160">
        <f>'Membership History and Planning'!K14</f>
        <v>477</v>
      </c>
      <c r="P51" s="177">
        <f t="shared" si="23"/>
        <v>5.2980132450331174E-2</v>
      </c>
      <c r="Q51" s="34"/>
      <c r="R51" s="34" t="s">
        <v>110</v>
      </c>
      <c r="S51" s="160">
        <f>'Membership History and Planning'!Q14</f>
        <v>486</v>
      </c>
      <c r="T51" s="177">
        <f t="shared" si="24"/>
        <v>1.8867924528301883E-2</v>
      </c>
      <c r="U51" s="160">
        <f>'Membership History and Planning'!U14</f>
        <v>495</v>
      </c>
      <c r="V51" s="177">
        <f t="shared" si="25"/>
        <v>1.8518518518518601E-2</v>
      </c>
      <c r="W51" s="160">
        <f>'Membership History and Planning'!Y14</f>
        <v>504</v>
      </c>
      <c r="X51" s="177">
        <f t="shared" si="26"/>
        <v>1.8181818181818077E-2</v>
      </c>
      <c r="Y51" s="160">
        <f>'Membership History and Planning'!AC14</f>
        <v>513</v>
      </c>
      <c r="Z51" s="177">
        <f t="shared" si="27"/>
        <v>1.7857142857142794E-2</v>
      </c>
      <c r="AA51" s="160">
        <f>'Membership History and Planning'!AG14</f>
        <v>522</v>
      </c>
      <c r="AB51" s="34"/>
    </row>
    <row r="52" spans="1:28" ht="16" customHeight="1" x14ac:dyDescent="0.2">
      <c r="A52" s="34"/>
      <c r="B52" s="125" t="s">
        <v>139</v>
      </c>
      <c r="C52" s="162"/>
      <c r="D52" s="163"/>
      <c r="E52" s="164">
        <f>'Membership History and Planning'!C15</f>
        <v>6016</v>
      </c>
      <c r="F52" s="182"/>
      <c r="G52" s="164">
        <f>'Membership History and Planning'!D15</f>
        <v>5775</v>
      </c>
      <c r="H52" s="182">
        <f t="shared" si="19"/>
        <v>-4.0059840425531901E-2</v>
      </c>
      <c r="I52" s="164">
        <f>'Membership History and Planning'!E15</f>
        <v>5792</v>
      </c>
      <c r="J52" s="182">
        <f t="shared" si="20"/>
        <v>2.9437229437230261E-3</v>
      </c>
      <c r="K52" s="164">
        <f>'Membership History and Planning'!F15</f>
        <v>4924</v>
      </c>
      <c r="L52" s="182">
        <f t="shared" si="21"/>
        <v>-0.14986187845303867</v>
      </c>
      <c r="M52" s="164">
        <f>'Membership History and Planning'!G15</f>
        <v>4347</v>
      </c>
      <c r="N52" s="182">
        <f t="shared" si="22"/>
        <v>-0.11718115353371239</v>
      </c>
      <c r="O52" s="164">
        <f>'Membership History and Planning'!K15</f>
        <v>4409</v>
      </c>
      <c r="P52" s="182">
        <f t="shared" si="23"/>
        <v>1.4262709914883764E-2</v>
      </c>
      <c r="Q52" s="34"/>
      <c r="R52" s="125" t="s">
        <v>139</v>
      </c>
      <c r="S52" s="164">
        <f>'Membership History and Planning'!Q15</f>
        <v>4442</v>
      </c>
      <c r="T52" s="182">
        <f t="shared" si="24"/>
        <v>7.4846904059877595E-3</v>
      </c>
      <c r="U52" s="164">
        <f>'Membership History and Planning'!U15</f>
        <v>4475</v>
      </c>
      <c r="V52" s="182">
        <f t="shared" si="25"/>
        <v>7.4290859972985235E-3</v>
      </c>
      <c r="W52" s="164">
        <f>'Membership History and Planning'!Y15</f>
        <v>4508</v>
      </c>
      <c r="X52" s="182">
        <f t="shared" si="26"/>
        <v>7.3743016759777458E-3</v>
      </c>
      <c r="Y52" s="164">
        <f>'Membership History and Planning'!AC15</f>
        <v>4541</v>
      </c>
      <c r="Z52" s="182">
        <f t="shared" si="27"/>
        <v>7.3203194321207476E-3</v>
      </c>
      <c r="AA52" s="164">
        <f>'Membership History and Planning'!AG15</f>
        <v>4574</v>
      </c>
      <c r="AB52" s="34"/>
    </row>
    <row r="53" spans="1:28" ht="16" customHeight="1" x14ac:dyDescent="0.2">
      <c r="A53" s="34"/>
      <c r="B53" s="34" t="s">
        <v>111</v>
      </c>
      <c r="C53"/>
      <c r="D53" s="34"/>
      <c r="E53" s="160">
        <f>'Membership History and Planning'!C16</f>
        <v>517</v>
      </c>
      <c r="F53" s="178"/>
      <c r="G53" s="160">
        <f>'Membership History and Planning'!D16</f>
        <v>613</v>
      </c>
      <c r="H53" s="178">
        <f t="shared" si="19"/>
        <v>0.18568665377176008</v>
      </c>
      <c r="I53" s="160">
        <f>'Membership History and Planning'!E16</f>
        <v>700</v>
      </c>
      <c r="J53" s="178">
        <f t="shared" si="20"/>
        <v>0.1419249592169658</v>
      </c>
      <c r="K53" s="160">
        <f>'Membership History and Planning'!F16</f>
        <v>527</v>
      </c>
      <c r="L53" s="178">
        <f t="shared" si="21"/>
        <v>-0.24714285714285711</v>
      </c>
      <c r="M53" s="160">
        <f>'Membership History and Planning'!G16</f>
        <v>568</v>
      </c>
      <c r="N53" s="178">
        <f t="shared" si="22"/>
        <v>7.7798861480075976E-2</v>
      </c>
      <c r="O53" s="160">
        <f>'Membership History and Planning'!K16</f>
        <v>569</v>
      </c>
      <c r="P53" s="178">
        <f t="shared" si="23"/>
        <v>1.7605633802817433E-3</v>
      </c>
      <c r="Q53" s="34"/>
      <c r="R53" s="34" t="s">
        <v>111</v>
      </c>
      <c r="S53" s="160">
        <f>'Membership History and Planning'!Q16</f>
        <v>570</v>
      </c>
      <c r="T53" s="178">
        <f t="shared" si="24"/>
        <v>1.7574692442883233E-3</v>
      </c>
      <c r="U53" s="160">
        <f>'Membership History and Planning'!U16</f>
        <v>571</v>
      </c>
      <c r="V53" s="178">
        <f t="shared" si="25"/>
        <v>1.7543859649122862E-3</v>
      </c>
      <c r="W53" s="160">
        <f>'Membership History and Planning'!Y16</f>
        <v>572</v>
      </c>
      <c r="X53" s="178">
        <f t="shared" si="26"/>
        <v>1.7513134851139256E-3</v>
      </c>
      <c r="Y53" s="160">
        <f>'Membership History and Planning'!AC16</f>
        <v>573</v>
      </c>
      <c r="Z53" s="178">
        <f t="shared" si="27"/>
        <v>1.7482517482516613E-3</v>
      </c>
      <c r="AA53" s="160">
        <f>'Membership History and Planning'!AG16</f>
        <v>574</v>
      </c>
      <c r="AB53" s="34"/>
    </row>
    <row r="54" spans="1:28" ht="16" customHeight="1" x14ac:dyDescent="0.2">
      <c r="A54" s="34"/>
      <c r="B54" s="125" t="s">
        <v>140</v>
      </c>
      <c r="C54" s="162"/>
      <c r="D54" s="163"/>
      <c r="E54" s="164">
        <f>'Membership History and Planning'!C17</f>
        <v>6533</v>
      </c>
      <c r="F54" s="182"/>
      <c r="G54" s="164">
        <f>'Membership History and Planning'!D17</f>
        <v>6388</v>
      </c>
      <c r="H54" s="182">
        <f t="shared" si="19"/>
        <v>-2.2195009949487199E-2</v>
      </c>
      <c r="I54" s="164">
        <f>'Membership History and Planning'!E17</f>
        <v>6492</v>
      </c>
      <c r="J54" s="182">
        <f t="shared" si="20"/>
        <v>1.6280525986224204E-2</v>
      </c>
      <c r="K54" s="164">
        <f>'Membership History and Planning'!F17</f>
        <v>5451</v>
      </c>
      <c r="L54" s="182">
        <f t="shared" si="21"/>
        <v>-0.16035120147874304</v>
      </c>
      <c r="M54" s="164">
        <f>'Membership History and Planning'!G17</f>
        <v>4915</v>
      </c>
      <c r="N54" s="182">
        <f t="shared" si="22"/>
        <v>-9.833058154467067E-2</v>
      </c>
      <c r="O54" s="164">
        <f>'Membership History and Planning'!K17</f>
        <v>4978</v>
      </c>
      <c r="P54" s="182">
        <f t="shared" si="23"/>
        <v>1.2817904374364142E-2</v>
      </c>
      <c r="Q54" s="34"/>
      <c r="R54" s="125" t="s">
        <v>140</v>
      </c>
      <c r="S54" s="164">
        <f>'Membership History and Planning'!Q17</f>
        <v>5012</v>
      </c>
      <c r="T54" s="182">
        <f t="shared" si="24"/>
        <v>6.8300522298112565E-3</v>
      </c>
      <c r="U54" s="164">
        <f>'Membership History and Planning'!U17</f>
        <v>5046</v>
      </c>
      <c r="V54" s="182">
        <f t="shared" si="25"/>
        <v>6.7837190742219278E-3</v>
      </c>
      <c r="W54" s="164">
        <f>'Membership History and Planning'!Y17</f>
        <v>5080</v>
      </c>
      <c r="X54" s="182">
        <f t="shared" si="26"/>
        <v>6.7380103051921658E-3</v>
      </c>
      <c r="Y54" s="164">
        <f>'Membership History and Planning'!AC17</f>
        <v>5114</v>
      </c>
      <c r="Z54" s="182">
        <f t="shared" si="27"/>
        <v>6.6929133858266709E-3</v>
      </c>
      <c r="AA54" s="164">
        <f>'Membership History and Planning'!AG17</f>
        <v>5148</v>
      </c>
      <c r="AB54" s="34"/>
    </row>
    <row r="55" spans="1:28" ht="16" customHeight="1" x14ac:dyDescent="0.2">
      <c r="A55" s="34"/>
      <c r="B55" s="35"/>
      <c r="C55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5"/>
      <c r="S55" s="34"/>
      <c r="T55" s="34"/>
      <c r="U55" s="34"/>
      <c r="V55" s="34"/>
      <c r="W55" s="34"/>
      <c r="X55" s="34"/>
      <c r="Y55" s="34"/>
      <c r="Z55" s="34"/>
      <c r="AA55" s="34"/>
      <c r="AB55" s="34"/>
    </row>
    <row r="56" spans="1:28" ht="16" customHeight="1" x14ac:dyDescent="0.2">
      <c r="A56" s="34"/>
      <c r="B56" s="34"/>
      <c r="C56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</row>
    <row r="57" spans="1:28" ht="16" customHeight="1" x14ac:dyDescent="0.2">
      <c r="A57" s="34"/>
      <c r="B57" s="165" t="s">
        <v>146</v>
      </c>
      <c r="C57" s="166"/>
      <c r="D57" s="167"/>
      <c r="E57" s="210">
        <f>'Membership History and Planning'!C21</f>
        <v>50.604222074468083</v>
      </c>
      <c r="F57" s="210"/>
      <c r="G57" s="210">
        <f>'Membership History and Planning'!D21</f>
        <v>42.790303030303029</v>
      </c>
      <c r="H57" s="210"/>
      <c r="I57" s="210">
        <f>'Membership History and Planning'!E21</f>
        <v>44.460117403314918</v>
      </c>
      <c r="J57" s="210"/>
      <c r="K57" s="210">
        <f>'Membership History and Planning'!F21</f>
        <v>43.878350934199837</v>
      </c>
      <c r="L57" s="210"/>
      <c r="M57" s="210">
        <f>'Membership History and Planning'!G21</f>
        <v>61.46146767885898</v>
      </c>
      <c r="N57" s="210"/>
      <c r="O57" s="210">
        <f>'Membership History and Planning'!K21</f>
        <v>57.473349965978677</v>
      </c>
      <c r="P57" s="168"/>
      <c r="Q57" s="34"/>
      <c r="R57" s="165" t="s">
        <v>146</v>
      </c>
      <c r="S57" s="168">
        <f>'Membership History and Planning'!Q21</f>
        <v>58.757766771724448</v>
      </c>
      <c r="T57" s="168"/>
      <c r="U57" s="168">
        <f>'Membership History and Planning'!U21</f>
        <v>60.074203351955305</v>
      </c>
      <c r="V57" s="168"/>
      <c r="W57" s="168">
        <f>'Membership History and Planning'!Y21</f>
        <v>61.423474223602483</v>
      </c>
      <c r="X57" s="168"/>
      <c r="Y57" s="168">
        <f>'Membership History and Planning'!AC21</f>
        <v>62.806415426998456</v>
      </c>
      <c r="Z57" s="168"/>
      <c r="AA57" s="168">
        <f>'Membership History and Planning'!AG21</f>
        <v>64.223885095675556</v>
      </c>
      <c r="AB57" s="34"/>
    </row>
    <row r="58" spans="1:28" ht="16" customHeight="1" x14ac:dyDescent="0.2">
      <c r="A58" s="34"/>
      <c r="B58" s="169" t="s">
        <v>145</v>
      </c>
      <c r="C58" s="170"/>
      <c r="D58" s="171"/>
      <c r="E58" s="211">
        <f>'Membership History and Planning'!C22</f>
        <v>91.750332446808514</v>
      </c>
      <c r="F58" s="211"/>
      <c r="G58" s="211">
        <f>'Membership History and Planning'!D22</f>
        <v>89.661645021645015</v>
      </c>
      <c r="H58" s="211"/>
      <c r="I58" s="211">
        <f>'Membership History and Planning'!E22</f>
        <v>96.583563535911608</v>
      </c>
      <c r="J58" s="211"/>
      <c r="K58" s="211">
        <f>'Membership History and Planning'!F22</f>
        <v>113.7055239642567</v>
      </c>
      <c r="L58" s="211"/>
      <c r="M58" s="211">
        <f>'Membership History and Planning'!G22</f>
        <v>105.24959742351047</v>
      </c>
      <c r="N58" s="211"/>
      <c r="O58" s="211">
        <f>'Membership History and Planning'!K22</f>
        <v>126.62735314130188</v>
      </c>
      <c r="P58" s="172"/>
      <c r="Q58" s="34"/>
      <c r="R58" s="169" t="s">
        <v>145</v>
      </c>
      <c r="S58" s="172">
        <f>'Membership History and Planning'!Q22</f>
        <v>127.70801440792435</v>
      </c>
      <c r="T58" s="172"/>
      <c r="U58" s="172">
        <f>'Membership History and Planning'!U22</f>
        <v>128.83293184357541</v>
      </c>
      <c r="V58" s="172"/>
      <c r="W58" s="172">
        <f>'Membership History and Planning'!Y22</f>
        <v>130.00292615350486</v>
      </c>
      <c r="X58" s="172"/>
      <c r="Y58" s="172">
        <f>'Membership History and Planning'!AC22</f>
        <v>131.21884757388241</v>
      </c>
      <c r="Z58" s="172"/>
      <c r="AA58" s="172">
        <f>'Membership History and Planning'!AG22</f>
        <v>132.48157639658723</v>
      </c>
      <c r="AB58" s="34"/>
    </row>
    <row r="59" spans="1:28" ht="16" customHeight="1" x14ac:dyDescent="0.2">
      <c r="A59" s="34"/>
      <c r="B59" s="169" t="s">
        <v>144</v>
      </c>
      <c r="C59" s="170"/>
      <c r="D59" s="171"/>
      <c r="E59" s="211">
        <f>'Membership History and Planning'!C23</f>
        <v>199.44980053191489</v>
      </c>
      <c r="F59" s="211"/>
      <c r="G59" s="211">
        <f>'Membership History and Planning'!D23</f>
        <v>219.7522077922078</v>
      </c>
      <c r="H59" s="211"/>
      <c r="I59" s="211">
        <f>'Membership History and Planning'!E23</f>
        <v>224.12085635359117</v>
      </c>
      <c r="J59" s="211"/>
      <c r="K59" s="211">
        <f>'Membership History and Planning'!F23</f>
        <v>260.52091795288385</v>
      </c>
      <c r="L59" s="211"/>
      <c r="M59" s="211">
        <f>'Membership History and Planning'!G23</f>
        <v>273.42397055440534</v>
      </c>
      <c r="N59" s="211"/>
      <c r="O59" s="211">
        <f>'Membership History and Planning'!K23</f>
        <v>224.94216375595374</v>
      </c>
      <c r="P59" s="172"/>
      <c r="Q59" s="34"/>
      <c r="R59" s="169" t="s">
        <v>144</v>
      </c>
      <c r="S59" s="172">
        <f>'Membership History and Planning'!Q23</f>
        <v>310.36195585361327</v>
      </c>
      <c r="T59" s="172"/>
      <c r="U59" s="172">
        <f>'Membership History and Planning'!U23</f>
        <v>307.72067827733406</v>
      </c>
      <c r="V59" s="172"/>
      <c r="W59" s="172">
        <f>'Membership History and Planning'!Y23</f>
        <v>310.05502814575453</v>
      </c>
      <c r="X59" s="172"/>
      <c r="Y59" s="172">
        <f>'Membership History and Planning'!AC23</f>
        <v>311.29686981595233</v>
      </c>
      <c r="Z59" s="172"/>
      <c r="AA59" s="172">
        <f>'Membership History and Planning'!AG23</f>
        <v>312.59353040412162</v>
      </c>
      <c r="AB59" s="34"/>
    </row>
    <row r="60" spans="1:28" ht="16" customHeight="1" x14ac:dyDescent="0.2">
      <c r="A60" s="34"/>
      <c r="B60" s="169"/>
      <c r="C60" s="170"/>
      <c r="D60" s="17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172"/>
      <c r="Q60" s="34"/>
      <c r="R60" s="169"/>
      <c r="S60" s="172"/>
      <c r="T60" s="172"/>
      <c r="U60" s="172"/>
      <c r="V60" s="172"/>
      <c r="W60" s="172"/>
      <c r="X60" s="172"/>
      <c r="Y60" s="172"/>
      <c r="Z60" s="172"/>
      <c r="AA60" s="172"/>
      <c r="AB60" s="34"/>
    </row>
    <row r="61" spans="1:28" ht="16" customHeight="1" x14ac:dyDescent="0.2">
      <c r="A61" s="34"/>
      <c r="B61" s="169" t="s">
        <v>147</v>
      </c>
      <c r="C61" s="170"/>
      <c r="D61" s="171"/>
      <c r="E61" s="211">
        <f>'Membership History and Planning'!C25</f>
        <v>108.74119015957447</v>
      </c>
      <c r="F61" s="211"/>
      <c r="G61" s="211">
        <f>'Membership History and Planning'!D25</f>
        <v>115.44658008658008</v>
      </c>
      <c r="H61" s="211"/>
      <c r="I61" s="211">
        <f>'Membership History and Planning'!E25</f>
        <v>123.82803867403315</v>
      </c>
      <c r="J61" s="211"/>
      <c r="K61" s="211">
        <f>'Membership History and Planning'!F25</f>
        <v>133.17810722989441</v>
      </c>
      <c r="L61" s="211"/>
      <c r="M61" s="211">
        <f>'Membership History and Planning'!G25</f>
        <v>129.72601794340926</v>
      </c>
      <c r="N61" s="211"/>
      <c r="O61" s="211">
        <f>'Membership History and Planning'!K25</f>
        <v>139.330006804264</v>
      </c>
      <c r="P61" s="172"/>
      <c r="Q61" s="34"/>
      <c r="R61" s="169" t="s">
        <v>147</v>
      </c>
      <c r="S61" s="172">
        <f>'Membership History and Planning'!Q25</f>
        <v>142.44375956776227</v>
      </c>
      <c r="T61" s="172"/>
      <c r="U61" s="172">
        <f>'Membership History and Planning'!U25</f>
        <v>145.63513640223465</v>
      </c>
      <c r="V61" s="172"/>
      <c r="W61" s="172">
        <f>'Membership History and Planning'!Y25</f>
        <v>148.90611190372672</v>
      </c>
      <c r="X61" s="172"/>
      <c r="Y61" s="172">
        <f>'Membership History and Planning'!AC25</f>
        <v>152.2587128464788</v>
      </c>
      <c r="Z61" s="172"/>
      <c r="AA61" s="172">
        <f>'Membership History and Planning'!AG25</f>
        <v>155.69501956426237</v>
      </c>
      <c r="AB61" s="34"/>
    </row>
    <row r="62" spans="1:28" ht="16" customHeight="1" x14ac:dyDescent="0.2">
      <c r="A62" s="34"/>
      <c r="B62" s="173" t="s">
        <v>150</v>
      </c>
      <c r="C62" s="174"/>
      <c r="D62" s="175"/>
      <c r="E62" s="212">
        <f>'Membership History and Planning'!C26</f>
        <v>195.05817819148936</v>
      </c>
      <c r="F62" s="212"/>
      <c r="G62" s="212">
        <f>'Membership History and Planning'!D26</f>
        <v>218.08121212121213</v>
      </c>
      <c r="H62" s="212"/>
      <c r="I62" s="212">
        <f>'Membership History and Planning'!E26</f>
        <v>223.82838397790056</v>
      </c>
      <c r="J62" s="212"/>
      <c r="K62" s="212">
        <f>'Membership History and Planning'!F26</f>
        <v>254.27315190901706</v>
      </c>
      <c r="L62" s="212"/>
      <c r="M62" s="212">
        <f>'Membership History and Planning'!G26</f>
        <v>251.67977915804002</v>
      </c>
      <c r="N62" s="212"/>
      <c r="O62" s="212">
        <f>'Membership History and Planning'!K26</f>
        <v>221.42254479473803</v>
      </c>
      <c r="P62" s="176"/>
      <c r="Q62" s="34"/>
      <c r="R62" s="173" t="s">
        <v>150</v>
      </c>
      <c r="S62" s="176">
        <f>'Membership History and Planning'!Q26</f>
        <v>225.96349167041873</v>
      </c>
      <c r="T62" s="176"/>
      <c r="U62" s="176">
        <f>'Membership History and Planning'!U26</f>
        <v>230.61156461452515</v>
      </c>
      <c r="V62" s="176"/>
      <c r="W62" s="176">
        <f>'Membership History and Planning'!Y26</f>
        <v>235.36934485764195</v>
      </c>
      <c r="X62" s="176"/>
      <c r="Y62" s="176">
        <f>'Membership History and Planning'!AC26</f>
        <v>240.23947930984724</v>
      </c>
      <c r="Z62" s="176"/>
      <c r="AA62" s="176">
        <f>'Membership History and Planning'!AG26</f>
        <v>245.2246822277757</v>
      </c>
      <c r="AB62" s="34"/>
    </row>
    <row r="63" spans="1:28" ht="16" customHeight="1" x14ac:dyDescent="0.2">
      <c r="A63" s="34"/>
      <c r="C63" s="159"/>
      <c r="D63" s="152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152"/>
      <c r="Q63" s="34"/>
      <c r="S63" s="152"/>
      <c r="T63" s="152"/>
      <c r="U63" s="152"/>
      <c r="V63" s="152"/>
      <c r="W63" s="152"/>
      <c r="X63" s="152"/>
      <c r="Y63" s="152"/>
      <c r="Z63" s="152"/>
      <c r="AA63" s="152"/>
      <c r="AB63" s="34"/>
    </row>
    <row r="64" spans="1:28" ht="16" customHeight="1" x14ac:dyDescent="0.2">
      <c r="A64" s="34"/>
      <c r="C64" s="159"/>
      <c r="D64" s="152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152"/>
      <c r="Q64" s="34"/>
      <c r="S64" s="152"/>
      <c r="T64" s="152"/>
      <c r="U64" s="152"/>
      <c r="V64" s="152"/>
      <c r="W64" s="152"/>
      <c r="X64" s="152"/>
      <c r="Y64" s="152"/>
      <c r="Z64" s="152"/>
      <c r="AA64" s="152"/>
      <c r="AB64" s="34"/>
    </row>
    <row r="65" spans="1:28" ht="16" customHeight="1" x14ac:dyDescent="0.2">
      <c r="A65" s="34"/>
      <c r="B65" s="165" t="s">
        <v>117</v>
      </c>
      <c r="C65" s="183"/>
      <c r="D65" s="168"/>
      <c r="E65" s="210">
        <f>'Membership History and Planning'!C30</f>
        <v>46.59957140670442</v>
      </c>
      <c r="F65" s="210"/>
      <c r="G65" s="210">
        <f>'Membership History and Planning'!D30</f>
        <v>38.684095178459614</v>
      </c>
      <c r="H65" s="210"/>
      <c r="I65" s="210">
        <f>'Membership History and Planning'!E30</f>
        <v>39.666204559457796</v>
      </c>
      <c r="J65" s="210"/>
      <c r="K65" s="210">
        <f>'Membership History and Planning'!F30</f>
        <v>39.63621353880022</v>
      </c>
      <c r="L65" s="210"/>
      <c r="M65" s="210">
        <f>'Membership History and Planning'!G30</f>
        <v>54.358697863682607</v>
      </c>
      <c r="N65" s="210"/>
      <c r="O65" s="210">
        <f>'Membership History and Planning'!K30</f>
        <v>50.90397750100442</v>
      </c>
      <c r="P65" s="168"/>
      <c r="Q65" s="34"/>
      <c r="R65" s="165" t="s">
        <v>117</v>
      </c>
      <c r="S65" s="168">
        <f>'Membership History and Planning'!Q30</f>
        <v>52.075418994413411</v>
      </c>
      <c r="T65" s="168"/>
      <c r="U65" s="168">
        <f>'Membership History and Planning'!U30</f>
        <v>53.276270313119305</v>
      </c>
      <c r="V65" s="168"/>
      <c r="W65" s="168">
        <f>'Membership History and Planning'!Y30</f>
        <v>54.507287755905509</v>
      </c>
      <c r="X65" s="168"/>
      <c r="Y65" s="168">
        <f>'Membership History and Planning'!AC30</f>
        <v>55.769247644505278</v>
      </c>
      <c r="Z65" s="168"/>
      <c r="AA65" s="168">
        <f>'Membership History and Planning'!AG30</f>
        <v>57.062946858512042</v>
      </c>
      <c r="AB65" s="34"/>
    </row>
    <row r="66" spans="1:28" ht="16" customHeight="1" x14ac:dyDescent="0.2">
      <c r="A66" s="34"/>
      <c r="B66" s="169" t="s">
        <v>118</v>
      </c>
      <c r="C66" s="184"/>
      <c r="D66" s="172"/>
      <c r="E66" s="211">
        <f>'Membership History and Planning'!C31</f>
        <v>84.489514771161794</v>
      </c>
      <c r="F66" s="211"/>
      <c r="G66" s="211">
        <f>'Membership History and Planning'!D31</f>
        <v>81.05760801502818</v>
      </c>
      <c r="H66" s="211"/>
      <c r="I66" s="211">
        <f>'Membership History and Planning'!E31</f>
        <v>86.169439309919895</v>
      </c>
      <c r="J66" s="211"/>
      <c r="K66" s="211">
        <f>'Membership History and Planning'!F31</f>
        <v>102.71252981104385</v>
      </c>
      <c r="L66" s="211"/>
      <c r="M66" s="211">
        <f>'Membership History and Planning'!G31</f>
        <v>93.086469989827066</v>
      </c>
      <c r="N66" s="211"/>
      <c r="O66" s="211">
        <f>'Membership History and Planning'!K31</f>
        <v>112.15347529128164</v>
      </c>
      <c r="P66" s="172"/>
      <c r="Q66" s="34"/>
      <c r="R66" s="169" t="s">
        <v>118</v>
      </c>
      <c r="S66" s="172">
        <f>'Membership History and Planning'!Q31</f>
        <v>113.1841580207502</v>
      </c>
      <c r="T66" s="172"/>
      <c r="U66" s="172">
        <f>'Membership History and Planning'!U31</f>
        <v>114.25433412604043</v>
      </c>
      <c r="V66" s="172"/>
      <c r="W66" s="172">
        <f>'Membership History and Planning'!Y31</f>
        <v>115.36480139763778</v>
      </c>
      <c r="X66" s="172"/>
      <c r="Y66" s="172">
        <f>'Membership History and Planning'!AC31</f>
        <v>116.51638381560423</v>
      </c>
      <c r="Z66" s="172"/>
      <c r="AA66" s="172">
        <f>'Membership History and Planning'!AG31</f>
        <v>117.70993209751167</v>
      </c>
      <c r="AB66" s="34"/>
    </row>
    <row r="67" spans="1:28" ht="15" customHeight="1" x14ac:dyDescent="0.2">
      <c r="A67" s="34"/>
      <c r="B67" s="169" t="s">
        <v>148</v>
      </c>
      <c r="C67" s="184"/>
      <c r="D67" s="172"/>
      <c r="E67" s="211">
        <f>'Membership History and Planning'!C32</f>
        <v>183.66600336751875</v>
      </c>
      <c r="F67" s="211"/>
      <c r="G67" s="211">
        <f>'Membership History and Planning'!D32</f>
        <v>198.66452723857233</v>
      </c>
      <c r="H67" s="211"/>
      <c r="I67" s="211">
        <f>'Membership History and Planning'!E32</f>
        <v>199.95502156500308</v>
      </c>
      <c r="J67" s="211"/>
      <c r="K67" s="211">
        <f>'Membership History and Planning'!F32</f>
        <v>235.33388369106586</v>
      </c>
      <c r="L67" s="211"/>
      <c r="M67" s="211">
        <f>'Membership History and Planning'!G32</f>
        <v>241.82583926754833</v>
      </c>
      <c r="N67" s="211"/>
      <c r="O67" s="211">
        <f>'Membership History and Planning'!K32</f>
        <v>199.23061470470068</v>
      </c>
      <c r="P67" s="172"/>
      <c r="Q67" s="34"/>
      <c r="R67" s="169" t="s">
        <v>148</v>
      </c>
      <c r="S67" s="172">
        <f>'Membership History and Planning'!Q32</f>
        <v>275.06540460928773</v>
      </c>
      <c r="T67" s="172"/>
      <c r="U67" s="172">
        <f>'Membership History and Planning'!U32</f>
        <v>272.89933319283983</v>
      </c>
      <c r="V67" s="172"/>
      <c r="W67" s="172">
        <f>'Membership History and Planning'!Y32</f>
        <v>275.14332025217749</v>
      </c>
      <c r="X67" s="172"/>
      <c r="Y67" s="172">
        <f>'Membership History and Planning'!AC32</f>
        <v>276.41749820771207</v>
      </c>
      <c r="Z67" s="172"/>
      <c r="AA67" s="172">
        <f>'Membership History and Planning'!AG32</f>
        <v>277.73947320677007</v>
      </c>
      <c r="AB67" s="34"/>
    </row>
    <row r="68" spans="1:28" ht="16" customHeight="1" x14ac:dyDescent="0.2">
      <c r="A68" s="34"/>
      <c r="B68" s="169"/>
      <c r="C68" s="184"/>
      <c r="D68" s="172"/>
      <c r="E68" s="211"/>
      <c r="F68" s="211"/>
      <c r="G68" s="211"/>
      <c r="H68" s="211"/>
      <c r="I68" s="211"/>
      <c r="J68" s="211"/>
      <c r="K68" s="211"/>
      <c r="L68" s="211"/>
      <c r="M68" s="211">
        <f>'Membership History and Planning'!G33</f>
        <v>0</v>
      </c>
      <c r="N68" s="211"/>
      <c r="O68" s="211"/>
      <c r="P68" s="172"/>
      <c r="Q68" s="34"/>
      <c r="R68" s="169"/>
      <c r="S68" s="172"/>
      <c r="T68" s="172"/>
      <c r="U68" s="172"/>
      <c r="V68" s="172"/>
      <c r="W68" s="172"/>
      <c r="X68" s="172"/>
      <c r="Y68" s="172"/>
      <c r="Z68" s="172"/>
      <c r="AA68" s="172"/>
      <c r="AB68" s="34"/>
    </row>
    <row r="69" spans="1:28" ht="16" customHeight="1" x14ac:dyDescent="0.2">
      <c r="A69" s="34"/>
      <c r="B69" s="169" t="s">
        <v>143</v>
      </c>
      <c r="C69" s="184"/>
      <c r="D69" s="172"/>
      <c r="E69" s="211">
        <f>'Membership History and Planning'!C34</f>
        <v>100.13577223327721</v>
      </c>
      <c r="F69" s="211"/>
      <c r="G69" s="211">
        <f>'Membership History and Planning'!D34</f>
        <v>104.36819035691923</v>
      </c>
      <c r="H69" s="211"/>
      <c r="I69" s="211">
        <f>'Membership History and Planning'!E34</f>
        <v>110.47627849661122</v>
      </c>
      <c r="J69" s="211"/>
      <c r="K69" s="211">
        <f>'Membership History and Planning'!F34</f>
        <v>120.30251330031187</v>
      </c>
      <c r="L69" s="211"/>
      <c r="M69" s="211">
        <f>'Membership History and Planning'!G34</f>
        <v>114.73428280773143</v>
      </c>
      <c r="N69" s="211"/>
      <c r="O69" s="211">
        <f>'Membership History and Planning'!K34</f>
        <v>123.40417838489353</v>
      </c>
      <c r="P69" s="172"/>
      <c r="Q69" s="34"/>
      <c r="R69" s="169" t="s">
        <v>143</v>
      </c>
      <c r="S69" s="172">
        <f>'Membership History and Planning'!Q34</f>
        <v>126.24405027932961</v>
      </c>
      <c r="T69" s="172"/>
      <c r="U69" s="172">
        <f>'Membership History and Planning'!U34</f>
        <v>129.15521906460566</v>
      </c>
      <c r="V69" s="172"/>
      <c r="W69" s="172">
        <f>'Membership History and Planning'!Y34</f>
        <v>132.13951820118112</v>
      </c>
      <c r="X69" s="172"/>
      <c r="Y69" s="172">
        <f>'Membership History and Planning'!AC34</f>
        <v>135.19882969023467</v>
      </c>
      <c r="Z69" s="172"/>
      <c r="AA69" s="172">
        <f>'Membership History and Planning'!AG34</f>
        <v>138.33508537042269</v>
      </c>
      <c r="AB69" s="34"/>
    </row>
    <row r="70" spans="1:28" ht="16" customHeight="1" x14ac:dyDescent="0.2">
      <c r="A70" s="34"/>
      <c r="B70" s="173" t="s">
        <v>151</v>
      </c>
      <c r="C70" s="185"/>
      <c r="D70" s="176"/>
      <c r="E70" s="212">
        <f>'Membership History and Planning'!C35</f>
        <v>179.62191948568804</v>
      </c>
      <c r="F70" s="212"/>
      <c r="G70" s="212">
        <f>'Membership History and Planning'!D35</f>
        <v>197.15388227927363</v>
      </c>
      <c r="H70" s="212"/>
      <c r="I70" s="212">
        <f>'Membership History and Planning'!E35</f>
        <v>199.69408502772643</v>
      </c>
      <c r="J70" s="212"/>
      <c r="K70" s="212">
        <f>'Membership History and Planning'!F35</f>
        <v>229.69014859658779</v>
      </c>
      <c r="L70" s="212"/>
      <c r="M70" s="212">
        <f>'Membership History and Planning'!G35</f>
        <v>222.59450661241098</v>
      </c>
      <c r="N70" s="212"/>
      <c r="O70" s="212">
        <f>'Membership History and Planning'!K35</f>
        <v>196.11329851345923</v>
      </c>
      <c r="P70" s="176"/>
      <c r="Q70" s="34"/>
      <c r="R70" s="173" t="s">
        <v>151</v>
      </c>
      <c r="S70" s="176">
        <f>'Membership History and Planning'!Q35</f>
        <v>200.26532920989627</v>
      </c>
      <c r="T70" s="176"/>
      <c r="U70" s="176">
        <f>'Membership History and Planning'!U35</f>
        <v>204.51580492469282</v>
      </c>
      <c r="V70" s="176"/>
      <c r="W70" s="176">
        <f>'Membership History and Planning'!Y35</f>
        <v>208.86712728705706</v>
      </c>
      <c r="X70" s="176"/>
      <c r="Y70" s="176">
        <f>'Membership History and Planning'!AC35</f>
        <v>213.32175900391402</v>
      </c>
      <c r="Z70" s="176"/>
      <c r="AA70" s="176">
        <f>'Membership History and Planning'!AG35</f>
        <v>217.88222542926303</v>
      </c>
      <c r="AB70" s="34"/>
    </row>
    <row r="71" spans="1:28" ht="16" customHeight="1" x14ac:dyDescent="0.2">
      <c r="A71" s="34"/>
      <c r="B71" s="34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34"/>
    </row>
    <row r="72" spans="1:28" ht="15" customHeight="1" x14ac:dyDescent="0.2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</row>
    <row r="73" spans="1:28" ht="16" customHeight="1" x14ac:dyDescent="0.2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</row>
    <row r="74" spans="1:28" ht="16" customHeight="1" x14ac:dyDescent="0.2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</row>
    <row r="75" spans="1:28" ht="16" customHeight="1" x14ac:dyDescent="0.2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</row>
    <row r="76" spans="1:28" ht="16" customHeight="1" x14ac:dyDescent="0.2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</row>
    <row r="77" spans="1:28" ht="16" x14ac:dyDescent="0.2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</row>
    <row r="78" spans="1:28" ht="16" x14ac:dyDescent="0.2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</row>
    <row r="79" spans="1:28" ht="16" x14ac:dyDescent="0.2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</row>
    <row r="80" spans="1:28" ht="16" x14ac:dyDescent="0.2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</row>
    <row r="81" spans="1:28" ht="16" x14ac:dyDescent="0.2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</row>
    <row r="82" spans="1:28" ht="16" x14ac:dyDescent="0.2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</row>
    <row r="83" spans="1:28" ht="16" x14ac:dyDescent="0.2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</row>
    <row r="84" spans="1:28" ht="16" x14ac:dyDescent="0.2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</row>
    <row r="85" spans="1:28" ht="16" x14ac:dyDescent="0.2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</row>
    <row r="86" spans="1:28" ht="16" x14ac:dyDescent="0.2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</row>
  </sheetData>
  <mergeCells count="1">
    <mergeCell ref="A3:N3"/>
  </mergeCells>
  <phoneticPr fontId="2" type="noConversion"/>
  <printOptions horizontalCentered="1" verticalCentered="1" gridLines="1"/>
  <pageMargins left="0.45" right="0.45" top="1" bottom="1" header="0.5" footer="0.5"/>
  <pageSetup scale="36" orientation="landscape"/>
  <headerFooter alignWithMargins="0">
    <oddFooter>&amp;C&amp;8&amp;D</oddFooter>
  </headerFooter>
  <colBreaks count="1" manualBreakCount="1">
    <brk id="14" max="6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35"/>
  <sheetViews>
    <sheetView zoomScaleNormal="100" zoomScalePageLayoutView="101" workbookViewId="0">
      <pane xSplit="3" ySplit="4" topLeftCell="D6" activePane="bottomRight" state="frozen"/>
      <selection pane="topRight" activeCell="D1" sqref="D1"/>
      <selection pane="bottomLeft" activeCell="A5" sqref="A5"/>
      <selection pane="bottomRight" activeCell="H16" sqref="H16"/>
    </sheetView>
  </sheetViews>
  <sheetFormatPr baseColWidth="10" defaultColWidth="9.1640625" defaultRowHeight="11" x14ac:dyDescent="0.15"/>
  <cols>
    <col min="1" max="1" width="2" style="1" customWidth="1"/>
    <col min="2" max="2" width="27.6640625" style="1" customWidth="1"/>
    <col min="3" max="3" width="3.33203125" style="1" customWidth="1"/>
    <col min="4" max="4" width="9.33203125" style="1" bestFit="1" customWidth="1"/>
    <col min="5" max="5" width="3.33203125" style="1" customWidth="1"/>
    <col min="6" max="6" width="9.33203125" style="1" bestFit="1" customWidth="1"/>
    <col min="7" max="7" width="3.33203125" style="1" customWidth="1"/>
    <col min="8" max="8" width="10.1640625" style="1" bestFit="1" customWidth="1"/>
    <col min="9" max="9" width="3.33203125" style="1" customWidth="1"/>
    <col min="10" max="10" width="9.33203125" style="1" bestFit="1" customWidth="1"/>
    <col min="11" max="11" width="3.33203125" style="1" customWidth="1"/>
    <col min="12" max="12" width="9.33203125" style="1" bestFit="1" customWidth="1"/>
    <col min="13" max="13" width="3.33203125" style="1" customWidth="1"/>
    <col min="14" max="14" width="9.33203125" style="1" bestFit="1" customWidth="1"/>
    <col min="15" max="15" width="4.33203125" style="1" customWidth="1"/>
    <col min="16" max="16" width="11.6640625" style="1" customWidth="1"/>
    <col min="17" max="16384" width="9.1640625" style="1"/>
  </cols>
  <sheetData>
    <row r="1" spans="1:17" ht="16" customHeight="1" x14ac:dyDescent="0.2">
      <c r="A1" s="113" t="s">
        <v>43</v>
      </c>
      <c r="H1" s="43" t="str">
        <f>Setup!B2</f>
        <v xml:space="preserve">Five Year Operating and Membership Plan </v>
      </c>
    </row>
    <row r="2" spans="1:17" ht="20" customHeight="1" x14ac:dyDescent="0.4">
      <c r="A2" s="349" t="str">
        <f>Setup!B6&amp;" Council Operating Fund Historical Growth"</f>
        <v>XXX Council Council Operating Fund Historical Growth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</row>
    <row r="3" spans="1:17" ht="20" customHeight="1" x14ac:dyDescent="0.4">
      <c r="A3" s="253"/>
      <c r="B3" s="253"/>
      <c r="C3" s="253"/>
      <c r="D3" s="45">
        <f>Setup!$B4-4</f>
        <v>2016</v>
      </c>
      <c r="E3" s="45"/>
      <c r="F3" s="45">
        <f>Setup!$B4-3</f>
        <v>2017</v>
      </c>
      <c r="G3" s="45"/>
      <c r="H3" s="45">
        <f>Setup!$B4-2</f>
        <v>2018</v>
      </c>
      <c r="I3" s="45"/>
      <c r="J3" s="45">
        <f>Setup!$B4-1</f>
        <v>2019</v>
      </c>
      <c r="K3" s="45"/>
      <c r="L3" s="45">
        <f>Setup!$B4</f>
        <v>2020</v>
      </c>
      <c r="M3" s="253"/>
      <c r="N3" s="256" t="s">
        <v>182</v>
      </c>
      <c r="O3" s="256"/>
      <c r="P3" s="256" t="s">
        <v>185</v>
      </c>
    </row>
    <row r="4" spans="1:17" ht="25" customHeight="1" x14ac:dyDescent="0.15">
      <c r="C4" s="25"/>
      <c r="D4" s="255" t="s">
        <v>181</v>
      </c>
      <c r="E4" s="255"/>
      <c r="F4" s="255" t="s">
        <v>181</v>
      </c>
      <c r="G4" s="255"/>
      <c r="H4" s="255" t="s">
        <v>181</v>
      </c>
      <c r="I4" s="255"/>
      <c r="J4" s="255" t="s">
        <v>181</v>
      </c>
      <c r="K4" s="255"/>
      <c r="L4" s="255" t="s">
        <v>184</v>
      </c>
      <c r="M4" s="27"/>
      <c r="N4" s="257" t="s">
        <v>183</v>
      </c>
      <c r="P4" s="257" t="s">
        <v>186</v>
      </c>
    </row>
    <row r="5" spans="1:17" ht="15" customHeight="1" x14ac:dyDescent="0.2">
      <c r="A5" s="33" t="s">
        <v>39</v>
      </c>
      <c r="B5" s="34"/>
      <c r="C5" s="25"/>
      <c r="D5" s="2"/>
      <c r="E5" s="27"/>
      <c r="F5" s="2"/>
      <c r="G5" s="27"/>
      <c r="H5" s="2"/>
      <c r="I5" s="27"/>
      <c r="J5" s="2"/>
      <c r="K5" s="27"/>
      <c r="L5" s="2"/>
      <c r="M5" s="27"/>
    </row>
    <row r="6" spans="1:17" ht="14" customHeight="1" thickBot="1" x14ac:dyDescent="0.2">
      <c r="A6" s="46"/>
      <c r="B6" s="46" t="s">
        <v>15</v>
      </c>
      <c r="C6" s="87"/>
      <c r="D6" s="88">
        <f>IF('A. History Input &amp; Output'!E8=0,IF('A. History Input &amp; Output'!G8=0,0,1),'A. History Input &amp; Output'!G8/'A. History Input &amp; Output'!E8-1)</f>
        <v>-0.1882864979388047</v>
      </c>
      <c r="E6" s="89"/>
      <c r="F6" s="88">
        <f>IF('A. History Input &amp; Output'!G8=0,IF('A. History Input &amp; Output'!I8=0,0,1),'A. History Input &amp; Output'!I8/'A. History Input &amp; Output'!G8-1)</f>
        <v>4.208179220926378E-2</v>
      </c>
      <c r="G6" s="89"/>
      <c r="H6" s="88">
        <f>IF('A. History Input &amp; Output'!I8=0,IF('A. History Input &amp; Output'!K8=0,0,1),'A. History Input &amp; Output'!K8/'A. History Input &amp; Output'!I8-1)</f>
        <v>-0.16098604730634958</v>
      </c>
      <c r="I6" s="89"/>
      <c r="J6" s="88">
        <f>IF('A. History Input &amp; Output'!K8=0,IF('A. History Input &amp; Output'!M8=0,0,1),'A. History Input &amp; Output'!M8/'A. History Input &amp; Output'!K8-1)</f>
        <v>0.23658571580647703</v>
      </c>
      <c r="K6" s="89"/>
      <c r="L6" s="88">
        <f>IF('A. History Input &amp; Output'!M8=0,IF('A. History Input &amp; Output'!O8=0,0,1),'A. History Input &amp; Output'!O8/'A. History Input &amp; Output'!M8-1)</f>
        <v>-5.1550867789784127E-2</v>
      </c>
      <c r="M6" s="90"/>
      <c r="N6" s="91">
        <f>(IF(F6=0,0,IF('A. History Input &amp; Output'!E8=0,"0",POWER('A. History Input &amp; Output'!M8/'A. History Input &amp; Output'!E8,1/4))))-1</f>
        <v>-3.211335685667438E-2</v>
      </c>
      <c r="O6" s="46"/>
      <c r="P6" s="91">
        <f>(IF(F6=0,0,IF('A. History Input &amp; Output'!E8=0,"0",POWER('A. History Input &amp; Output'!O8/'A. History Input &amp; Output'!E8,1/5))))-1</f>
        <v>-3.6032468886131208E-2</v>
      </c>
      <c r="Q6"/>
    </row>
    <row r="7" spans="1:17" ht="14" customHeight="1" thickBot="1" x14ac:dyDescent="0.2">
      <c r="A7" s="46"/>
      <c r="B7" s="46" t="s">
        <v>13</v>
      </c>
      <c r="C7" s="87"/>
      <c r="D7" s="88">
        <f>IF('A. History Input &amp; Output'!E9=0,IF('A. History Input &amp; Output'!G9=0,0,1),'A. History Input &amp; Output'!G9/'A. History Input &amp; Output'!E9-1)</f>
        <v>1</v>
      </c>
      <c r="E7" s="89"/>
      <c r="F7" s="88">
        <f>IF('A. History Input &amp; Output'!G9=0,IF('A. History Input &amp; Output'!I9=0,0,1),'A. History Input &amp; Output'!I9/'A. History Input &amp; Output'!G9-1)</f>
        <v>-0.87478086651640374</v>
      </c>
      <c r="G7" s="89"/>
      <c r="H7" s="88">
        <f>IF('A. History Input &amp; Output'!I9=0,IF('A. History Input &amp; Output'!K9=0,0,1),'A. History Input &amp; Output'!K9/'A. History Input &amp; Output'!I9-1)</f>
        <v>-1</v>
      </c>
      <c r="I7" s="89"/>
      <c r="J7" s="88">
        <f>IF('A. History Input &amp; Output'!K9=0,IF('A. History Input &amp; Output'!M9=0,0,1),'A. History Input &amp; Output'!M9/'A. History Input &amp; Output'!K9-1)</f>
        <v>0</v>
      </c>
      <c r="K7" s="89"/>
      <c r="L7" s="88">
        <f>IF('A. History Input &amp; Output'!M9=0,IF('A. History Input &amp; Output'!O9=0,0,1),'A. History Input &amp; Output'!O9/'A. History Input &amp; Output'!M9-1)</f>
        <v>0</v>
      </c>
      <c r="M7" s="90"/>
      <c r="N7" s="91">
        <f>(IF(F7=0,0,IF('A. History Input &amp; Output'!E9=0,"0",POWER('A. History Input &amp; Output'!M9/'A. History Input &amp; Output'!E9,1/4))))-1</f>
        <v>-1</v>
      </c>
      <c r="O7" s="46"/>
      <c r="P7" s="91">
        <f>(IF(F7=0,0,IF('A. History Input &amp; Output'!E9=0,"0",POWER('A. History Input &amp; Output'!O9/'A. History Input &amp; Output'!E9,1/5))))-1</f>
        <v>-1</v>
      </c>
      <c r="Q7"/>
    </row>
    <row r="8" spans="1:17" ht="14" customHeight="1" thickBot="1" x14ac:dyDescent="0.2">
      <c r="A8" s="46"/>
      <c r="B8" s="46" t="s">
        <v>16</v>
      </c>
      <c r="C8" s="87"/>
      <c r="D8" s="88">
        <f>IF('A. History Input &amp; Output'!E10=0,IF('A. History Input &amp; Output'!G10=0,0,1),'A. History Input &amp; Output'!G10/'A. History Input &amp; Output'!E10-1)</f>
        <v>0.19555964569193596</v>
      </c>
      <c r="E8" s="89"/>
      <c r="F8" s="88">
        <f>IF('A. History Input &amp; Output'!G10=0,IF('A. History Input &amp; Output'!I10=0,0,1),'A. History Input &amp; Output'!I10/'A. History Input &amp; Output'!G10-1)</f>
        <v>-0.13718368132396808</v>
      </c>
      <c r="G8" s="89"/>
      <c r="H8" s="88">
        <f>IF('A. History Input &amp; Output'!I10=0,IF('A. History Input &amp; Output'!K10=0,0,1),'A. History Input &amp; Output'!K10/'A. History Input &amp; Output'!I10-1)</f>
        <v>-0.27037274526750121</v>
      </c>
      <c r="I8" s="89"/>
      <c r="J8" s="88">
        <f>IF('A. History Input &amp; Output'!K10=0,IF('A. History Input &amp; Output'!M10=0,0,1),'A. History Input &amp; Output'!M10/'A. History Input &amp; Output'!K10-1)</f>
        <v>-0.27061760472787943</v>
      </c>
      <c r="K8" s="89"/>
      <c r="L8" s="88">
        <f>IF('A. History Input &amp; Output'!M10=0,IF('A. History Input &amp; Output'!O10=0,0,1),'A. History Input &amp; Output'!O10/'A. History Input &amp; Output'!M10-1)</f>
        <v>-0.198477281458457</v>
      </c>
      <c r="M8" s="90"/>
      <c r="N8" s="91">
        <f>(IF(F8=0,0,IF('A. History Input &amp; Output'!E10=0,"0",POWER('A. History Input &amp; Output'!M10/'A. History Input &amp; Output'!E10,1/4))))-1</f>
        <v>-0.13923127148158676</v>
      </c>
      <c r="O8" s="46"/>
      <c r="P8" s="91">
        <f>(IF(F8=0,0,IF('A. History Input &amp; Output'!E10=0,"0",POWER('A. History Input &amp; Output'!O10/'A. History Input &amp; Output'!E10,1/5))))-1</f>
        <v>-0.15142085930732352</v>
      </c>
      <c r="Q8"/>
    </row>
    <row r="9" spans="1:17" ht="14" customHeight="1" thickBot="1" x14ac:dyDescent="0.2">
      <c r="A9" s="46"/>
      <c r="B9" s="46" t="s">
        <v>17</v>
      </c>
      <c r="C9" s="87"/>
      <c r="D9" s="88">
        <f>IF('A. History Input &amp; Output'!E11=0,IF('A. History Input &amp; Output'!G11=0,0,1),'A. History Input &amp; Output'!G11/'A. History Input &amp; Output'!E11-1)</f>
        <v>-0.96187694936130486</v>
      </c>
      <c r="E9" s="89"/>
      <c r="F9" s="88">
        <f>IF('A. History Input &amp; Output'!G11=0,IF('A. History Input &amp; Output'!I11=0,0,1),'A. History Input &amp; Output'!I11/'A. History Input &amp; Output'!G11-1)</f>
        <v>19.230849400729547</v>
      </c>
      <c r="G9" s="89"/>
      <c r="H9" s="88">
        <f>IF('A. History Input &amp; Output'!I11=0,IF('A. History Input &amp; Output'!K11=0,0,1),'A. History Input &amp; Output'!K11/'A. History Input &amp; Output'!I11-1)</f>
        <v>1.8333719702238365</v>
      </c>
      <c r="I9" s="89"/>
      <c r="J9" s="88">
        <f>IF('A. History Input &amp; Output'!K11=0,IF('A. History Input &amp; Output'!M11=0,0,1),'A. History Input &amp; Output'!M11/'A. History Input &amp; Output'!K11-1)</f>
        <v>-1</v>
      </c>
      <c r="K9" s="89"/>
      <c r="L9" s="88">
        <f>IF('A. History Input &amp; Output'!M11=0,IF('A. History Input &amp; Output'!O11=0,0,1),'A. History Input &amp; Output'!O11/'A. History Input &amp; Output'!M11-1)</f>
        <v>0</v>
      </c>
      <c r="M9" s="90"/>
      <c r="N9" s="91">
        <f>(IF(F9=0,0,IF('A. History Input &amp; Output'!E11=0,"0",POWER('A. History Input &amp; Output'!M11/'A. History Input &amp; Output'!E11,1/4))))-1</f>
        <v>-1</v>
      </c>
      <c r="O9" s="46"/>
      <c r="P9" s="91">
        <f>(IF(F9=0,0,IF('A. History Input &amp; Output'!E11=0,"0",POWER('A. History Input &amp; Output'!O11/'A. History Input &amp; Output'!E11,1/5))))-1</f>
        <v>-1</v>
      </c>
      <c r="Q9"/>
    </row>
    <row r="10" spans="1:17" ht="15" customHeight="1" thickBot="1" x14ac:dyDescent="0.2">
      <c r="A10" s="46"/>
      <c r="B10" s="46" t="s">
        <v>14</v>
      </c>
      <c r="C10" s="87"/>
      <c r="D10" s="88">
        <f>IF('A. History Input &amp; Output'!E12=0,IF('A. History Input &amp; Output'!G12=0,0,1),'A. History Input &amp; Output'!G12/'A. History Input &amp; Output'!E12-1)</f>
        <v>0.51385978697398293</v>
      </c>
      <c r="E10" s="89"/>
      <c r="F10" s="88">
        <f>IF('A. History Input &amp; Output'!G12=0,IF('A. History Input &amp; Output'!I12=0,0,1),'A. History Input &amp; Output'!I12/'A. History Input &amp; Output'!G12-1)</f>
        <v>-8.2195533384275987E-2</v>
      </c>
      <c r="G10" s="89"/>
      <c r="H10" s="88">
        <f>IF('A. History Input &amp; Output'!I12=0,IF('A. History Input &amp; Output'!K12=0,0,1),'A. History Input &amp; Output'!K12/'A. History Input &amp; Output'!I12-1)</f>
        <v>0.16131515284803166</v>
      </c>
      <c r="I10" s="89"/>
      <c r="J10" s="88">
        <f>IF('A. History Input &amp; Output'!K12=0,IF('A. History Input &amp; Output'!M12=0,0,1),'A. History Input &amp; Output'!M12/'A. History Input &amp; Output'!K12-1)</f>
        <v>-0.10465053363453136</v>
      </c>
      <c r="K10" s="89"/>
      <c r="L10" s="88">
        <f>IF('A. History Input &amp; Output'!M12=0,IF('A. History Input &amp; Output'!O12=0,0,1),'A. History Input &amp; Output'!O12/'A. History Input &amp; Output'!M12-1)</f>
        <v>0.38237360346273253</v>
      </c>
      <c r="M10" s="90"/>
      <c r="N10" s="91">
        <f>(IF(F10=0,0,IF('A. History Input &amp; Output'!E12=0,"0",POWER('A. History Input &amp; Output'!M12/'A. History Input &amp; Output'!E12,1/4))))-1</f>
        <v>9.6338392612716817E-2</v>
      </c>
      <c r="O10" s="46"/>
      <c r="P10" s="91">
        <f>(IF(F10=0,0,IF('A. History Input &amp; Output'!E12=0,"0",POWER('A. History Input &amp; Output'!O12/'A. History Input &amp; Output'!E12,1/5))))-1</f>
        <v>0.14836721384693852</v>
      </c>
      <c r="Q10"/>
    </row>
    <row r="11" spans="1:17" ht="14" customHeight="1" x14ac:dyDescent="0.15">
      <c r="A11" s="46"/>
      <c r="B11" s="46" t="s">
        <v>18</v>
      </c>
      <c r="C11" s="87"/>
      <c r="D11" s="97">
        <f>IF('A. History Input &amp; Output'!E13=0,IF('A. History Input &amp; Output'!G13=0,0,1),'A. History Input &amp; Output'!G13/'A. History Input &amp; Output'!E13-1)</f>
        <v>6.8799999999999972E-2</v>
      </c>
      <c r="E11" s="89"/>
      <c r="F11" s="97">
        <f>IF('A. History Input &amp; Output'!G13=0,IF('A. History Input &amp; Output'!I13=0,0,1),'A. History Input &amp; Output'!I13/'A. History Input &amp; Output'!G13-1)</f>
        <v>19.698353293413174</v>
      </c>
      <c r="G11" s="89"/>
      <c r="H11" s="97">
        <f>IF('A. History Input &amp; Output'!I13=0,IF('A. History Input &amp; Output'!K13=0,0,1),'A. History Input &amp; Output'!K13/'A. History Input &amp; Output'!I13-1)</f>
        <v>-0.7301558601236755</v>
      </c>
      <c r="I11" s="89"/>
      <c r="J11" s="97">
        <f>IF('A. History Input &amp; Output'!K13=0,IF('A. History Input &amp; Output'!M13=0,0,1),'A. History Input &amp; Output'!M13/'A. History Input &amp; Output'!K13-1)</f>
        <v>-0.90619136960600377</v>
      </c>
      <c r="K11" s="92"/>
      <c r="L11" s="97">
        <f>IF('A. History Input &amp; Output'!M13=0,IF('A. History Input &amp; Output'!O13=0,0,1),'A. History Input &amp; Output'!O13/'A. History Input &amp; Output'!M13-1)</f>
        <v>107.57142857142857</v>
      </c>
      <c r="M11" s="90"/>
      <c r="N11" s="91">
        <f>(IF(F11=0,0,IF('A. History Input &amp; Output'!E13=0,"0",POWER('A. History Input &amp; Output'!M13/'A. History Input &amp; Output'!E13,1/4))))-1</f>
        <v>-0.13493845458557785</v>
      </c>
      <c r="O11" s="46"/>
      <c r="P11" s="91">
        <f>(IF(F11=0,0,IF('A. History Input &amp; Output'!E13=0,"0",POWER('A. History Input &amp; Output'!O13/'A. History Input &amp; Output'!E13,1/5))))-1</f>
        <v>1.2739489776202761</v>
      </c>
      <c r="Q11"/>
    </row>
    <row r="12" spans="1:17" ht="15" customHeight="1" x14ac:dyDescent="0.15">
      <c r="A12" s="46"/>
      <c r="B12" s="84" t="s">
        <v>33</v>
      </c>
      <c r="C12" s="98"/>
      <c r="D12" s="99">
        <f>IF('A. History Input &amp; Output'!E14=0,IF('A. History Input &amp; Output'!G14=0,0,1),'A. History Input &amp; Output'!G14/'A. History Input &amp; Output'!E14-1)</f>
        <v>-6.1912785115133095E-2</v>
      </c>
      <c r="E12" s="100"/>
      <c r="F12" s="99">
        <f>IF('A. History Input &amp; Output'!G14=0,IF('A. History Input &amp; Output'!I14=0,0,1),'A. History Input &amp; Output'!I14/'A. History Input &amp; Output'!G14-1)</f>
        <v>8.0371420404947047E-2</v>
      </c>
      <c r="G12" s="100"/>
      <c r="H12" s="99">
        <f>IF('A. History Input &amp; Output'!I14=0,IF('A. History Input &amp; Output'!K14=0,0,1),'A. History Input &amp; Output'!K14/'A. History Input &amp; Output'!I14-1)</f>
        <v>8.4731825559702934E-4</v>
      </c>
      <c r="I12" s="100"/>
      <c r="J12" s="99">
        <f>IF('A. History Input &amp; Output'!K14=0,IF('A. History Input &amp; Output'!M14=0,0,1),'A. History Input &amp; Output'!M14/'A. History Input &amp; Output'!K14-1)</f>
        <v>-0.18283364827839954</v>
      </c>
      <c r="K12" s="101"/>
      <c r="L12" s="99">
        <f>IF('A. History Input &amp; Output'!M14=0,IF('A. History Input &amp; Output'!O14=0,0,1),'A. History Input &amp; Output'!O14/'A. History Input &amp; Output'!M14-1)</f>
        <v>0.22027452351809762</v>
      </c>
      <c r="M12" s="102"/>
      <c r="N12" s="103">
        <f>(IF(F12=0,0,IF('A. History Input &amp; Output'!E14=0,"0",POWER('A. History Input &amp; Output'!M14/'A. History Input &amp; Output'!E14,1/4))))-1</f>
        <v>-4.5834625802743556E-2</v>
      </c>
      <c r="O12" s="104"/>
      <c r="P12" s="103">
        <f>(IF(F12=0,0,IF('A. History Input &amp; Output'!E14=0,"0",POWER('A. History Input &amp; Output'!O14/'A. History Input &amp; Output'!E14,1/5))))-1</f>
        <v>2.2831535029808059E-3</v>
      </c>
      <c r="Q12"/>
    </row>
    <row r="13" spans="1:17" ht="14" customHeight="1" thickBot="1" x14ac:dyDescent="0.2">
      <c r="A13" s="46"/>
      <c r="B13" s="46" t="s">
        <v>19</v>
      </c>
      <c r="C13" s="87"/>
      <c r="D13" s="88">
        <f>IF('A. History Input &amp; Output'!E15=0,IF('A. History Input &amp; Output'!G15=0,0,1),'A. History Input &amp; Output'!G15/'A. History Input &amp; Output'!E15-1)</f>
        <v>-0.36158916694007814</v>
      </c>
      <c r="E13" s="89"/>
      <c r="F13" s="88">
        <f>IF('A. History Input &amp; Output'!G15=0,IF('A. History Input &amp; Output'!I15=0,0,1),'A. History Input &amp; Output'!I15/'A. History Input &amp; Output'!G15-1)</f>
        <v>-0.14768267613530184</v>
      </c>
      <c r="G13" s="89"/>
      <c r="H13" s="88">
        <f>IF('A. History Input &amp; Output'!I15=0,IF('A. History Input &amp; Output'!K15=0,0,1),'A. History Input &amp; Output'!K15/'A. History Input &amp; Output'!I15-1)</f>
        <v>0.20435235432768728</v>
      </c>
      <c r="I13" s="89"/>
      <c r="J13" s="88">
        <f>IF('A. History Input &amp; Output'!K15=0,IF('A. History Input &amp; Output'!M15=0,0,1),'A. History Input &amp; Output'!M15/'A. History Input &amp; Output'!K15-1)</f>
        <v>-0.36534522780028222</v>
      </c>
      <c r="K13" s="89"/>
      <c r="L13" s="88">
        <f>IF('A. History Input &amp; Output'!M15=0,IF('A. History Input &amp; Output'!O15=0,0,1),'A. History Input &amp; Output'!O15/'A. History Input &amp; Output'!M15-1)</f>
        <v>-0.13941480206540446</v>
      </c>
      <c r="M13" s="90"/>
      <c r="N13" s="91">
        <f>(IF(F13=0,0,IF('A. History Input &amp; Output'!E15=0,"0",POWER('A. History Input &amp; Output'!M15/'A. History Input &amp; Output'!E15,1/4))))-1</f>
        <v>-0.19693967557151848</v>
      </c>
      <c r="O13" s="46"/>
      <c r="P13" s="91">
        <f>(IF(F13=0,0,IF('A. History Input &amp; Output'!E15=0,"0",POWER('A. History Input &amp; Output'!O15/'A. History Input &amp; Output'!E15,1/5))))-1</f>
        <v>-0.18575085666281776</v>
      </c>
      <c r="Q13"/>
    </row>
    <row r="14" spans="1:17" ht="14" customHeight="1" x14ac:dyDescent="0.15">
      <c r="A14" s="46"/>
      <c r="B14" s="46" t="s">
        <v>28</v>
      </c>
      <c r="C14" s="87"/>
      <c r="D14" s="97">
        <f>IF('A. History Input &amp; Output'!E16=0,IF('A. History Input &amp; Output'!G16=0,0,1),'A. History Input &amp; Output'!G16/'A. History Input &amp; Output'!E16-1)</f>
        <v>-0.11853082701561257</v>
      </c>
      <c r="E14" s="89"/>
      <c r="F14" s="97">
        <f>IF('A. History Input &amp; Output'!G16=0,IF('A. History Input &amp; Output'!I16=0,0,1),'A. History Input &amp; Output'!I16/'A. History Input &amp; Output'!G16-1)</f>
        <v>-4.9954836429328853E-2</v>
      </c>
      <c r="G14" s="89"/>
      <c r="H14" s="97">
        <f>IF('A. History Input &amp; Output'!I16=0,IF('A. History Input &amp; Output'!K16=0,0,1),'A. History Input &amp; Output'!K16/'A. History Input &amp; Output'!I16-1)</f>
        <v>-6.4114753420693615E-2</v>
      </c>
      <c r="I14" s="89"/>
      <c r="J14" s="97">
        <f>IF('A. History Input &amp; Output'!K16=0,IF('A. History Input &amp; Output'!M16=0,0,1),'A. History Input &amp; Output'!M16/'A. History Input &amp; Output'!K16-1)</f>
        <v>-0.13356890459363957</v>
      </c>
      <c r="K14" s="92"/>
      <c r="L14" s="97">
        <f>IF('A. History Input &amp; Output'!M16=0,IF('A. History Input &amp; Output'!O16=0,0,1),'A. History Input &amp; Output'!O16/'A. History Input &amp; Output'!M16-1)</f>
        <v>3.9967373572593834E-2</v>
      </c>
      <c r="M14" s="90"/>
      <c r="N14" s="91">
        <f>(IF(F14=0,0,IF('A. History Input &amp; Output'!E16=0,"0",POWER('A. History Input &amp; Output'!M16/'A. History Input &amp; Output'!E16,1/4))))-1</f>
        <v>-9.2227540267349806E-2</v>
      </c>
      <c r="O14" s="46"/>
      <c r="P14" s="91">
        <f>(IF(F14=0,0,IF('A. History Input &amp; Output'!E16=0,"0",POWER('A. History Input &amp; Output'!O16/'A. History Input &amp; Output'!E16,1/5))))-1</f>
        <v>-6.7206426810638709E-2</v>
      </c>
      <c r="Q14"/>
    </row>
    <row r="15" spans="1:17" s="7" customFormat="1" ht="15" customHeight="1" x14ac:dyDescent="0.15">
      <c r="A15" s="29"/>
      <c r="B15" s="84" t="s">
        <v>34</v>
      </c>
      <c r="C15" s="98"/>
      <c r="D15" s="99">
        <f>IF('A. History Input &amp; Output'!E17=0,IF('A. History Input &amp; Output'!G17=0,0,1),'A. History Input &amp; Output'!G17/'A. History Input &amp; Output'!E17-1)</f>
        <v>-0.24909475438202966</v>
      </c>
      <c r="E15" s="100"/>
      <c r="F15" s="99">
        <f>IF('A. History Input &amp; Output'!G17=0,IF('A. History Input &amp; Output'!I17=0,0,1),'A. History Input &amp; Output'!I17/'A. History Input &amp; Output'!G17-1)</f>
        <v>-9.458680948215159E-2</v>
      </c>
      <c r="G15" s="100"/>
      <c r="H15" s="99">
        <f>IF('A. History Input &amp; Output'!I17=0,IF('A. History Input &amp; Output'!K17=0,0,1),'A. History Input &amp; Output'!K17/'A. History Input &amp; Output'!I17-1)</f>
        <v>5.1303200263939308E-2</v>
      </c>
      <c r="I15" s="100"/>
      <c r="J15" s="99">
        <f>IF('A. History Input &amp; Output'!K17=0,IF('A. History Input &amp; Output'!M17=0,0,1),'A. History Input &amp; Output'!M17/'A. History Input &amp; Output'!K17-1)</f>
        <v>-0.2477191724014256</v>
      </c>
      <c r="K15" s="101"/>
      <c r="L15" s="99">
        <f>IF('A. History Input &amp; Output'!M17=0,IF('A. History Input &amp; Output'!O17=0,0,1),'A. History Input &amp; Output'!O17/'A. History Input &amp; Output'!M17-1)</f>
        <v>-3.456495828367101E-2</v>
      </c>
      <c r="M15" s="102"/>
      <c r="N15" s="103">
        <f>(IF(F15=0,0,IF('A. History Input &amp; Output'!E17=0,"0",POWER('A. History Input &amp; Output'!M17/'A. History Input &amp; Output'!E17,1/4))))-1</f>
        <v>-0.14368217588419685</v>
      </c>
      <c r="O15" s="104"/>
      <c r="P15" s="103">
        <f>(IF(F15=0,0,IF('A. History Input &amp; Output'!E17=0,"0",POWER('A. History Input &amp; Output'!O17/'A. History Input &amp; Output'!E17,1/5))))-1</f>
        <v>-0.12289295620312657</v>
      </c>
      <c r="Q15"/>
    </row>
    <row r="16" spans="1:17" ht="14" customHeight="1" thickBot="1" x14ac:dyDescent="0.2">
      <c r="A16" s="46"/>
      <c r="B16" s="46" t="s">
        <v>20</v>
      </c>
      <c r="C16" s="87"/>
      <c r="D16" s="88">
        <f>IF('A. History Input &amp; Output'!E18=0,IF('A. History Input &amp; Output'!G18=0,0,1),'A. History Input &amp; Output'!G18/'A. History Input &amp; Output'!E18-1)</f>
        <v>-0.28552071234998067</v>
      </c>
      <c r="E16" s="89"/>
      <c r="F16" s="88">
        <f>IF('A. History Input &amp; Output'!G18=0,IF('A. History Input &amp; Output'!I18=0,0,1),'A. History Input &amp; Output'!I18/'A. History Input &amp; Output'!G18-1)</f>
        <v>-7.3015442969385003E-2</v>
      </c>
      <c r="G16" s="89"/>
      <c r="H16" s="88">
        <f>IF('A. History Input &amp; Output'!I18=0,IF('A. History Input &amp; Output'!K18=0,0,1),'A. History Input &amp; Output'!K18/'A. History Input &amp; Output'!I18-1)</f>
        <v>0.54581323980710206</v>
      </c>
      <c r="I16" s="89"/>
      <c r="J16" s="88">
        <f>IF('A. History Input &amp; Output'!K18=0,IF('A. History Input &amp; Output'!M18=0,0,1),'A. History Input &amp; Output'!M18/'A. History Input &amp; Output'!K18-1)</f>
        <v>-0.84382681036112683</v>
      </c>
      <c r="K16" s="89"/>
      <c r="L16" s="88">
        <f>IF('A. History Input &amp; Output'!M18=0,IF('A. History Input &amp; Output'!O18=0,0,1),'A. History Input &amp; Output'!O18/'A. History Input &amp; Output'!M18-1)</f>
        <v>1.6150121065375305</v>
      </c>
      <c r="M16" s="90"/>
      <c r="N16" s="91">
        <f>(IF(F16=0,0,IF('A. History Input &amp; Output'!E18=0,"0",POWER('A. History Input &amp; Output'!M18/'A. History Input &amp; Output'!E18,1/4))))-1</f>
        <v>-0.36765161842032279</v>
      </c>
      <c r="O16" s="46"/>
      <c r="P16" s="91">
        <f>(IF(F16=0,0,IF('A. History Input &amp; Output'!E18=0,"0",POWER('A. History Input &amp; Output'!O18/'A. History Input &amp; Output'!E18,1/5))))-1</f>
        <v>-0.16003755341915427</v>
      </c>
      <c r="Q16"/>
    </row>
    <row r="17" spans="1:17" ht="14" customHeight="1" thickBot="1" x14ac:dyDescent="0.2">
      <c r="A17" s="46"/>
      <c r="B17" s="46" t="s">
        <v>21</v>
      </c>
      <c r="C17" s="87"/>
      <c r="D17" s="88">
        <f>IF('A. History Input &amp; Output'!E19=0,IF('A. History Input &amp; Output'!G19=0,0,1),'A. History Input &amp; Output'!G19/'A. History Input &amp; Output'!E19-1)</f>
        <v>0.2181177503127476</v>
      </c>
      <c r="E17" s="89"/>
      <c r="F17" s="88">
        <f>IF('A. History Input &amp; Output'!G19=0,IF('A. History Input &amp; Output'!I19=0,0,1),'A. History Input &amp; Output'!I19/'A. History Input &amp; Output'!G19-1)</f>
        <v>0.1339061517036686</v>
      </c>
      <c r="G17" s="89"/>
      <c r="H17" s="88">
        <f>IF('A. History Input &amp; Output'!I19=0,IF('A. History Input &amp; Output'!K19=0,0,1),'A. History Input &amp; Output'!K19/'A. History Input &amp; Output'!I19-1)</f>
        <v>0.12677999857742361</v>
      </c>
      <c r="I17" s="89"/>
      <c r="J17" s="88">
        <f>IF('A. History Input &amp; Output'!K19=0,IF('A. History Input &amp; Output'!M19=0,0,1),'A. History Input &amp; Output'!M19/'A. History Input &amp; Output'!K19-1)</f>
        <v>5.8450221150487591E-2</v>
      </c>
      <c r="K17" s="89"/>
      <c r="L17" s="88">
        <f>IF('A. History Input &amp; Output'!M19=0,IF('A. History Input &amp; Output'!O19=0,0,1),'A. History Input &amp; Output'!O19/'A. History Input &amp; Output'!M19-1)</f>
        <v>-0.14317522166116659</v>
      </c>
      <c r="M17" s="90"/>
      <c r="N17" s="91">
        <f>(IF(F17=0,0,IF('A. History Input &amp; Output'!E19=0,"0",POWER('A. History Input &amp; Output'!M19/'A. History Input &amp; Output'!E19,1/4))))-1</f>
        <v>0.13290628885361966</v>
      </c>
      <c r="O17" s="46"/>
      <c r="P17" s="91">
        <f>(IF(F17=0,0,IF('A. History Input &amp; Output'!E19=0,"0",POWER('A. History Input &amp; Output'!O19/'A. History Input &amp; Output'!E19,1/5))))-1</f>
        <v>7.1355475472047347E-2</v>
      </c>
      <c r="Q17"/>
    </row>
    <row r="18" spans="1:17" ht="14" customHeight="1" thickBot="1" x14ac:dyDescent="0.2">
      <c r="A18" s="46"/>
      <c r="B18" s="46" t="s">
        <v>48</v>
      </c>
      <c r="C18" s="87"/>
      <c r="D18" s="88">
        <f>IF('A. History Input &amp; Output'!E20=0,IF('A. History Input &amp; Output'!G20=0,0,1),'A. History Input &amp; Output'!G20/'A. History Input &amp; Output'!E20-1)</f>
        <v>-0.2523881640260951</v>
      </c>
      <c r="E18" s="89"/>
      <c r="F18" s="88">
        <f>IF('A. History Input &amp; Output'!G20=0,IF('A. History Input &amp; Output'!I20=0,0,1),'A. History Input &amp; Output'!I20/'A. History Input &amp; Output'!G20-1)</f>
        <v>4.8980651863394398E-2</v>
      </c>
      <c r="G18" s="89"/>
      <c r="H18" s="88">
        <f>IF('A. History Input &amp; Output'!I20=0,IF('A. History Input &amp; Output'!K20=0,0,1),'A. History Input &amp; Output'!K20/'A. History Input &amp; Output'!I20-1)</f>
        <v>-7.8334282389641241E-2</v>
      </c>
      <c r="I18" s="89"/>
      <c r="J18" s="88">
        <f>IF('A. History Input &amp; Output'!K20=0,IF('A. History Input &amp; Output'!M20=0,0,1),'A. History Input &amp; Output'!M20/'A. History Input &amp; Output'!K20-1)</f>
        <v>0.61412415719773272</v>
      </c>
      <c r="K18" s="89"/>
      <c r="L18" s="88">
        <f>IF('A. History Input &amp; Output'!M20=0,IF('A. History Input &amp; Output'!O20=0,0,1),'A. History Input &amp; Output'!O20/'A. History Input &amp; Output'!M20-1)</f>
        <v>-4.4708682121519794E-2</v>
      </c>
      <c r="M18" s="90"/>
      <c r="N18" s="91">
        <f>(IF(F18=0,0,IF('A. History Input &amp; Output'!E20=0,"0",POWER('A. History Input &amp; Output'!M20/'A. History Input &amp; Output'!E20,1/4))))-1</f>
        <v>3.9294201631002057E-2</v>
      </c>
      <c r="O18" s="46"/>
      <c r="P18" s="91">
        <f>(IF(F18=0,0,IF('A. History Input &amp; Output'!E20=0,"0",POWER('A. History Input &amp; Output'!O20/'A. History Input &amp; Output'!E20,1/5))))-1</f>
        <v>2.1922519581995425E-2</v>
      </c>
      <c r="Q18"/>
    </row>
    <row r="19" spans="1:17" ht="14" customHeight="1" thickBot="1" x14ac:dyDescent="0.2">
      <c r="A19" s="46"/>
      <c r="B19" s="46" t="s">
        <v>55</v>
      </c>
      <c r="C19" s="87"/>
      <c r="D19" s="88">
        <f>IF('A. History Input &amp; Output'!E21=0,IF('A. History Input &amp; Output'!G21=0,0,1),'A. History Input &amp; Output'!G21/'A. History Input &amp; Output'!E21-1)</f>
        <v>1</v>
      </c>
      <c r="E19" s="89"/>
      <c r="F19" s="88">
        <f>IF('A. History Input &amp; Output'!G21=0,IF('A. History Input &amp; Output'!I21=0,0,1),'A. History Input &amp; Output'!I21/'A. History Input &amp; Output'!G21-1)</f>
        <v>-2.4238532110091744</v>
      </c>
      <c r="G19" s="89"/>
      <c r="H19" s="88">
        <f>IF('A. History Input &amp; Output'!I21=0,IF('A. History Input &amp; Output'!K21=0,0,1),'A. History Input &amp; Output'!K21/'A. History Input &amp; Output'!I21-1)</f>
        <v>1.1469072164948453</v>
      </c>
      <c r="I19" s="89"/>
      <c r="J19" s="88">
        <f>IF('A. History Input &amp; Output'!K21=0,IF('A. History Input &amp; Output'!M21=0,0,1),'A. History Input &amp; Output'!M21/'A. History Input &amp; Output'!K21-1)</f>
        <v>-1.9807923169267707</v>
      </c>
      <c r="K19" s="89"/>
      <c r="L19" s="88">
        <f>IF('A. History Input &amp; Output'!M21=0,IF('A. History Input &amp; Output'!O21=0,0,1),'A. History Input &amp; Output'!O21/'A. History Input &amp; Output'!M21-1)</f>
        <v>-1</v>
      </c>
      <c r="M19" s="90"/>
      <c r="N19" s="91">
        <f>(IF(F19=0,0,IF('A. History Input &amp; Output'!E21=0,"0",POWER('A. History Input &amp; Output'!M21/'A. History Input &amp; Output'!E21,1/4))))-1</f>
        <v>-1</v>
      </c>
      <c r="O19" s="46"/>
      <c r="P19" s="91">
        <f>(IF(F19=0,0,IF('A. History Input &amp; Output'!E21=0,"0",POWER('A. History Input &amp; Output'!O21/'A. History Input &amp; Output'!E21,1/5))))-1</f>
        <v>-1</v>
      </c>
      <c r="Q19"/>
    </row>
    <row r="20" spans="1:17" ht="14" customHeight="1" thickBot="1" x14ac:dyDescent="0.2">
      <c r="A20" s="46"/>
      <c r="B20" s="46" t="s">
        <v>22</v>
      </c>
      <c r="C20" s="87"/>
      <c r="D20" s="88">
        <f>IF('A. History Input &amp; Output'!E22=0,IF('A. History Input &amp; Output'!G22=0,0,1),'A. History Input &amp; Output'!G22/'A. History Input &amp; Output'!E22-1)</f>
        <v>0.41308018696055893</v>
      </c>
      <c r="E20" s="89"/>
      <c r="F20" s="88">
        <f>IF('A. History Input &amp; Output'!G22=0,IF('A. History Input &amp; Output'!I22=0,0,1),'A. History Input &amp; Output'!I22/'A. History Input &amp; Output'!G22-1)</f>
        <v>-0.13464438997881756</v>
      </c>
      <c r="G20" s="89"/>
      <c r="H20" s="88">
        <f>IF('A. History Input &amp; Output'!I22=0,IF('A. History Input &amp; Output'!K22=0,0,1),'A. History Input &amp; Output'!K22/'A. History Input &amp; Output'!I22-1)</f>
        <v>-7.5158676504983757E-2</v>
      </c>
      <c r="I20" s="89"/>
      <c r="J20" s="88">
        <f>IF('A. History Input &amp; Output'!K22=0,IF('A. History Input &amp; Output'!M22=0,0,1),'A. History Input &amp; Output'!M22/'A. History Input &amp; Output'!K22-1)</f>
        <v>-0.17909961719007117</v>
      </c>
      <c r="K20" s="89"/>
      <c r="L20" s="88">
        <f>IF('A. History Input &amp; Output'!M22=0,IF('A. History Input &amp; Output'!O22=0,0,1),'A. History Input &amp; Output'!O22/'A. History Input &amp; Output'!M22-1)</f>
        <v>-0.88801765721206805</v>
      </c>
      <c r="M20" s="90"/>
      <c r="N20" s="91">
        <f>(IF(F20=0,0,IF('A. History Input &amp; Output'!E22=0,"0",POWER('A. History Input &amp; Output'!M22/'A. History Input &amp; Output'!E22,1/4))))-1</f>
        <v>-1.8410788818509327E-2</v>
      </c>
      <c r="O20" s="46"/>
      <c r="P20" s="91">
        <f>(IF(F20=0,0,IF('A. History Input &amp; Output'!E22=0,"0",POWER('A. History Input &amp; Output'!O22/'A. History Input &amp; Output'!E22,1/5))))-1</f>
        <v>-0.3641221005811528</v>
      </c>
      <c r="Q20"/>
    </row>
    <row r="21" spans="1:17" ht="14" customHeight="1" thickBot="1" x14ac:dyDescent="0.2">
      <c r="A21" s="46"/>
      <c r="B21" s="46" t="s">
        <v>23</v>
      </c>
      <c r="C21" s="87"/>
      <c r="D21" s="88">
        <f>IF('A. History Input &amp; Output'!E23=0,IF('A. History Input &amp; Output'!G23=0,0,1),'A. History Input &amp; Output'!G23/'A. History Input &amp; Output'!E23-1)</f>
        <v>3.1660817604097558E-2</v>
      </c>
      <c r="E21" s="89"/>
      <c r="F21" s="88">
        <f>IF('A. History Input &amp; Output'!G23=0,IF('A. History Input &amp; Output'!I23=0,0,1),'A. History Input &amp; Output'!I23/'A. History Input &amp; Output'!G23-1)</f>
        <v>0.22102088849661672</v>
      </c>
      <c r="G21" s="89"/>
      <c r="H21" s="88">
        <f>IF('A. History Input &amp; Output'!I23=0,IF('A. History Input &amp; Output'!K23=0,0,1),'A. History Input &amp; Output'!K23/'A. History Input &amp; Output'!I23-1)</f>
        <v>0.60699656647189926</v>
      </c>
      <c r="I21" s="89"/>
      <c r="J21" s="88">
        <f>IF('A. History Input &amp; Output'!K23=0,IF('A. History Input &amp; Output'!M23=0,0,1),'A. History Input &amp; Output'!M23/'A. History Input &amp; Output'!K23-1)</f>
        <v>-0.39944335635501493</v>
      </c>
      <c r="K21" s="89"/>
      <c r="L21" s="88">
        <f>IF('A. History Input &amp; Output'!M23=0,IF('A. History Input &amp; Output'!O23=0,0,1),'A. History Input &amp; Output'!O23/'A. History Input &amp; Output'!M23-1)</f>
        <v>-0.38660549886090567</v>
      </c>
      <c r="M21" s="90"/>
      <c r="N21" s="91">
        <f>(IF(F21=0,0,IF('A. History Input &amp; Output'!E23=0,"0",POWER('A. History Input &amp; Output'!M23/'A. History Input &amp; Output'!E23,1/4))))-1</f>
        <v>5.0043373673426039E-2</v>
      </c>
      <c r="O21" s="46"/>
      <c r="P21" s="91">
        <f>(IF(F21=0,0,IF('A. History Input &amp; Output'!E23=0,"0",POWER('A. History Input &amp; Output'!O23/'A. History Input &amp; Output'!E23,1/5))))-1</f>
        <v>-5.6995496947687796E-2</v>
      </c>
      <c r="Q21"/>
    </row>
    <row r="22" spans="1:17" ht="14" customHeight="1" thickBot="1" x14ac:dyDescent="0.2">
      <c r="A22" s="46"/>
      <c r="B22" s="55" t="s">
        <v>51</v>
      </c>
      <c r="C22" s="87"/>
      <c r="D22" s="88">
        <f>IF('A. History Input &amp; Output'!E24=0,IF('A. History Input &amp; Output'!G24=0,0,1),'A. History Input &amp; Output'!G24/'A. History Input &amp; Output'!E24-1)</f>
        <v>0</v>
      </c>
      <c r="E22" s="89"/>
      <c r="F22" s="88">
        <f>IF('A. History Input &amp; Output'!G24=0,IF('A. History Input &amp; Output'!I24=0,0,1),'A. History Input &amp; Output'!I24/'A. History Input &amp; Output'!G24-1)</f>
        <v>0</v>
      </c>
      <c r="G22" s="89"/>
      <c r="H22" s="88">
        <f>IF('A. History Input &amp; Output'!I24=0,IF('A. History Input &amp; Output'!K24=0,0,1),'A. History Input &amp; Output'!K24/'A. History Input &amp; Output'!I24-1)</f>
        <v>1</v>
      </c>
      <c r="I22" s="89"/>
      <c r="J22" s="88">
        <f>IF('A. History Input &amp; Output'!K24=0,IF('A. History Input &amp; Output'!M24=0,0,1),'A. History Input &amp; Output'!M24/'A. History Input &amp; Output'!K24-1)</f>
        <v>-1</v>
      </c>
      <c r="K22" s="89"/>
      <c r="L22" s="88">
        <f>IF('A. History Input &amp; Output'!M24=0,IF('A. History Input &amp; Output'!O24=0,0,1),'A. History Input &amp; Output'!O24/'A. History Input &amp; Output'!M24-1)</f>
        <v>0</v>
      </c>
      <c r="M22" s="90"/>
      <c r="N22" s="91">
        <f>(IF(F22=0,0,IF('A. History Input &amp; Output'!E24=0,"0",POWER('A. History Input &amp; Output'!M24/'A. History Input &amp; Output'!E24,1/4))))-1</f>
        <v>-1</v>
      </c>
      <c r="O22" s="46"/>
      <c r="P22" s="91">
        <f>(IF(F22=0,0,IF('A. History Input &amp; Output'!E24=0,"0",POWER('A. History Input &amp; Output'!O24/'A. History Input &amp; Output'!E24,1/5))))-1</f>
        <v>-1</v>
      </c>
      <c r="Q22"/>
    </row>
    <row r="23" spans="1:17" ht="14" customHeight="1" thickBot="1" x14ac:dyDescent="0.2">
      <c r="A23" s="46"/>
      <c r="B23" s="46" t="s">
        <v>29</v>
      </c>
      <c r="C23" s="87"/>
      <c r="D23" s="88">
        <f>IF('A. History Input &amp; Output'!E25=0,IF('A. History Input &amp; Output'!G25=0,0,1),'A. History Input &amp; Output'!G25/'A. History Input &amp; Output'!E25-1)</f>
        <v>3.1660817604097558E-2</v>
      </c>
      <c r="E23" s="89"/>
      <c r="F23" s="88">
        <f>IF('A. History Input &amp; Output'!G25=0,IF('A. History Input &amp; Output'!I25=0,0,1),'A. History Input &amp; Output'!I25/'A. History Input &amp; Output'!G25-1)</f>
        <v>0.22102088849661672</v>
      </c>
      <c r="G23" s="89"/>
      <c r="H23" s="88">
        <f>IF('A. History Input &amp; Output'!I25=0,IF('A. History Input &amp; Output'!K25=0,0,1),'A. History Input &amp; Output'!K25/'A. History Input &amp; Output'!I25-1)</f>
        <v>-0.35836696584543104</v>
      </c>
      <c r="I23" s="89"/>
      <c r="J23" s="88">
        <f>IF('A. History Input &amp; Output'!K25=0,IF('A. History Input &amp; Output'!M25=0,0,1),'A. History Input &amp; Output'!M25/'A. History Input &amp; Output'!K25-1)</f>
        <v>0.50411904147205866</v>
      </c>
      <c r="K23" s="89"/>
      <c r="L23" s="88">
        <f>IF('A. History Input &amp; Output'!M25=0,IF('A. History Input &amp; Output'!O25=0,0,1),'A. History Input &amp; Output'!O25/'A. History Input &amp; Output'!M25-1)</f>
        <v>-0.38660549886090567</v>
      </c>
      <c r="M23" s="90"/>
      <c r="N23" s="91">
        <f>(IF(F23=0,0,IF('A. History Input &amp; Output'!E25=0,"0",POWER('A. History Input &amp; Output'!M25/'A. History Input &amp; Output'!E25,1/4))))-1</f>
        <v>5.0043373673426039E-2</v>
      </c>
      <c r="O23" s="46"/>
      <c r="P23" s="91">
        <f>(IF(F23=0,0,IF('A. History Input &amp; Output'!E25=0,"0",POWER('A. History Input &amp; Output'!O25/'A. History Input &amp; Output'!E25,1/5))))-1</f>
        <v>-5.6995496947687796E-2</v>
      </c>
      <c r="Q23"/>
    </row>
    <row r="24" spans="1:17" ht="14" customHeight="1" x14ac:dyDescent="0.15">
      <c r="A24" s="46"/>
      <c r="B24" s="46" t="s">
        <v>24</v>
      </c>
      <c r="C24" s="87"/>
      <c r="D24" s="97">
        <f>IF('A. History Input &amp; Output'!E26=0,IF('A. History Input &amp; Output'!G26=0,0,1),'A. History Input &amp; Output'!G26/'A. History Input &amp; Output'!E26-1)</f>
        <v>0.69265458329719887</v>
      </c>
      <c r="E24" s="89"/>
      <c r="F24" s="97">
        <f>IF('A. History Input &amp; Output'!G26=0,IF('A. History Input &amp; Output'!I26=0,0,1),'A. History Input &amp; Output'!I26/'A. History Input &amp; Output'!G26-1)</f>
        <v>-5.4257608361512499E-2</v>
      </c>
      <c r="G24" s="89"/>
      <c r="H24" s="97">
        <f>IF('A. History Input &amp; Output'!I26=0,IF('A. History Input &amp; Output'!K26=0,0,1),'A. History Input &amp; Output'!K26/'A. History Input &amp; Output'!I26-1)</f>
        <v>0.23121512541307765</v>
      </c>
      <c r="I24" s="89"/>
      <c r="J24" s="97">
        <f>IF('A. History Input &amp; Output'!K26=0,IF('A. History Input &amp; Output'!M26=0,0,1),'A. History Input &amp; Output'!M26/'A. History Input &amp; Output'!K26-1)</f>
        <v>8.8793065516786118E-2</v>
      </c>
      <c r="K24" s="92"/>
      <c r="L24" s="97">
        <f>IF('A. History Input &amp; Output'!M26=0,IF('A. History Input &amp; Output'!O26=0,0,1),'A. History Input &amp; Output'!O26/'A. History Input &amp; Output'!M26-1)</f>
        <v>-0.9757526773085472</v>
      </c>
      <c r="M24" s="90"/>
      <c r="N24" s="91">
        <f>(IF(F24=0,0,IF('A. History Input &amp; Output'!E26=0,"0",POWER('A. History Input &amp; Output'!M26/'A. History Input &amp; Output'!E26,1/4))))-1</f>
        <v>0.21033368813004905</v>
      </c>
      <c r="O24" s="46"/>
      <c r="P24" s="91">
        <f>(IF(F24=0,0,IF('A. History Input &amp; Output'!E26=0,"0",POWER('A. History Input &amp; Output'!O26/'A. History Input &amp; Output'!E26,1/5))))-1</f>
        <v>-0.44632252503109993</v>
      </c>
      <c r="Q24"/>
    </row>
    <row r="25" spans="1:17" s="7" customFormat="1" ht="15" customHeight="1" x14ac:dyDescent="0.15">
      <c r="A25" s="29"/>
      <c r="B25" s="84" t="s">
        <v>35</v>
      </c>
      <c r="C25" s="98"/>
      <c r="D25" s="99">
        <f>IF('A. History Input &amp; Output'!E27=0,IF('A. History Input &amp; Output'!G27=0,0,1),'A. History Input &amp; Output'!G27/'A. History Input &amp; Output'!E27-1)</f>
        <v>0.20307221446065449</v>
      </c>
      <c r="E25" s="100"/>
      <c r="F25" s="99">
        <f>IF('A. History Input &amp; Output'!G27=0,IF('A. History Input &amp; Output'!I27=0,0,1),'A. History Input &amp; Output'!I27/'A. History Input &amp; Output'!G27-1)</f>
        <v>-1.156151424036711E-2</v>
      </c>
      <c r="G25" s="100"/>
      <c r="H25" s="99">
        <f>IF('A. History Input &amp; Output'!I27=0,IF('A. History Input &amp; Output'!K27=0,0,1),'A. History Input &amp; Output'!K27/'A. History Input &amp; Output'!I27-1)</f>
        <v>-2.5786270110964016E-2</v>
      </c>
      <c r="I25" s="100"/>
      <c r="J25" s="99">
        <f>IF('A. History Input &amp; Output'!K27=0,IF('A. History Input &amp; Output'!M27=0,0,1),'A. History Input &amp; Output'!M27/'A. History Input &amp; Output'!K27-1)</f>
        <v>2.8285085831215362E-2</v>
      </c>
      <c r="K25" s="101"/>
      <c r="L25" s="99">
        <f>IF('A. History Input &amp; Output'!M27=0,IF('A. History Input &amp; Output'!O27=0,0,1),'A. History Input &amp; Output'!O27/'A. History Input &amp; Output'!M27-1)</f>
        <v>-0.4249843009402231</v>
      </c>
      <c r="M25" s="102"/>
      <c r="N25" s="103">
        <f>(IF(F25=0,0,IF('A. History Input &amp; Output'!E27=0,"0",POWER('A. History Input &amp; Output'!M27/'A. History Input &amp; Output'!E27,1/4))))-1</f>
        <v>4.4725707621590338E-2</v>
      </c>
      <c r="O25" s="104"/>
      <c r="P25" s="103">
        <f>(IF(F25=0,0,IF('A. History Input &amp; Output'!E27=0,"0",POWER('A. History Input &amp; Output'!O27/'A. History Input &amp; Output'!E27,1/5))))-1</f>
        <v>-7.2876123739092802E-2</v>
      </c>
      <c r="Q25"/>
    </row>
    <row r="26" spans="1:17" ht="15" customHeight="1" x14ac:dyDescent="0.15">
      <c r="A26" s="46"/>
      <c r="B26" s="46" t="s">
        <v>25</v>
      </c>
      <c r="C26" s="87"/>
      <c r="D26" s="97">
        <f>IF('A. History Input &amp; Output'!E28=0,IF('A. History Input &amp; Output'!G28=0,0,1),'A. History Input &amp; Output'!G28/'A. History Input &amp; Output'!E28-1)</f>
        <v>0</v>
      </c>
      <c r="E26" s="89"/>
      <c r="F26" s="97">
        <f>IF('A. History Input &amp; Output'!G28=0,IF('A. History Input &amp; Output'!I28=0,0,1),'A. History Input &amp; Output'!I28/'A. History Input &amp; Output'!G28-1)</f>
        <v>0</v>
      </c>
      <c r="G26" s="89"/>
      <c r="H26" s="97">
        <f>IF('A. History Input &amp; Output'!I28=0,IF('A. History Input &amp; Output'!K28=0,0,1),'A. History Input &amp; Output'!K28/'A. History Input &amp; Output'!I28-1)</f>
        <v>0</v>
      </c>
      <c r="I26" s="89"/>
      <c r="J26" s="97">
        <f>IF('A. History Input &amp; Output'!K28=0,IF('A. History Input &amp; Output'!M28=0,0,1),'A. History Input &amp; Output'!M28/'A. History Input &amp; Output'!K28-1)</f>
        <v>0</v>
      </c>
      <c r="K26" s="89"/>
      <c r="L26" s="97">
        <f>IF('A. History Input &amp; Output'!M28=0,IF('A. History Input &amp; Output'!O28=0,0,1),'A. History Input &amp; Output'!O28/'A. History Input &amp; Output'!M28-1)</f>
        <v>0</v>
      </c>
      <c r="M26" s="90"/>
      <c r="N26" s="91">
        <f>(IF(F26=0,0,IF('A. History Input &amp; Output'!E28=0,"0",POWER('A. History Input &amp; Output'!M28/'A. History Input &amp; Output'!E28,1/4))))-1</f>
        <v>-1</v>
      </c>
      <c r="O26" s="46"/>
      <c r="P26" s="91">
        <f>(IF(F26=0,0,IF('A. History Input &amp; Output'!E28=0,"0",POWER('A. History Input &amp; Output'!O28/'A. History Input &amp; Output'!E28,1/5))))-1</f>
        <v>-1</v>
      </c>
      <c r="Q26"/>
    </row>
    <row r="27" spans="1:17" s="7" customFormat="1" ht="15" customHeight="1" thickBot="1" x14ac:dyDescent="0.2">
      <c r="A27" s="85" t="s">
        <v>37</v>
      </c>
      <c r="B27" s="85"/>
      <c r="C27" s="105"/>
      <c r="D27" s="106">
        <f>IF('A. History Input &amp; Output'!E29=0,IF('A. History Input &amp; Output'!G29=0,0,1),'A. History Input &amp; Output'!G29/'A. History Input &amp; Output'!E29-1)</f>
        <v>5.7654451658068595E-2</v>
      </c>
      <c r="E27" s="107"/>
      <c r="F27" s="106">
        <f>IF('A. History Input &amp; Output'!G29=0,IF('A. History Input &amp; Output'!I29=0,0,1),'A. History Input &amp; Output'!I29/'A. History Input &amp; Output'!G29-1)</f>
        <v>2.288212855250582E-2</v>
      </c>
      <c r="G27" s="107"/>
      <c r="H27" s="106">
        <f>IF('A. History Input &amp; Output'!I29=0,IF('A. History Input &amp; Output'!K29=0,0,1),'A. History Input &amp; Output'!K29/'A. History Input &amp; Output'!I29-1)</f>
        <v>-1.1788695547674033E-2</v>
      </c>
      <c r="I27" s="107"/>
      <c r="J27" s="106">
        <f>IF('A. History Input &amp; Output'!K29=0,IF('A. History Input &amp; Output'!M29=0,0,1),'A. History Input &amp; Output'!M29/'A. History Input &amp; Output'!K29-1)</f>
        <v>-7.3456994632855377E-2</v>
      </c>
      <c r="K27" s="108"/>
      <c r="L27" s="106">
        <f>IF('A. History Input &amp; Output'!M29=0,IF('A. History Input &amp; Output'!O29=0,0,1),'A. History Input &amp; Output'!O29/'A. History Input &amp; Output'!M29-1)</f>
        <v>-0.16557993023572781</v>
      </c>
      <c r="M27" s="109"/>
      <c r="N27" s="110">
        <f>(IF(F27=0,0,IF('A. History Input &amp; Output'!E29=0,"0",POWER('A. History Input &amp; Output'!M29/'A. History Input &amp; Output'!E29,1/4))))-1</f>
        <v>-2.366100532959492E-3</v>
      </c>
      <c r="O27" s="111"/>
      <c r="P27" s="110">
        <f>(IF(F27=0,0,IF('A. History Input &amp; Output'!E29=0,"0",POWER('A. History Input &amp; Output'!O29/'A. History Input &amp; Output'!E29,1/5))))-1</f>
        <v>-3.7382158771093632E-2</v>
      </c>
      <c r="Q27"/>
    </row>
    <row r="28" spans="1:17" ht="15" customHeight="1" thickTop="1" x14ac:dyDescent="0.15">
      <c r="A28" s="54" t="s">
        <v>38</v>
      </c>
      <c r="B28" s="46"/>
      <c r="C28" s="87"/>
      <c r="D28" s="93"/>
      <c r="E28" s="89"/>
      <c r="F28" s="93"/>
      <c r="G28" s="89"/>
      <c r="H28" s="93"/>
      <c r="I28" s="89"/>
      <c r="J28" s="93"/>
      <c r="K28" s="89"/>
      <c r="L28" s="93"/>
      <c r="M28" s="90"/>
      <c r="N28" s="94"/>
      <c r="O28" s="46"/>
      <c r="P28" s="94"/>
      <c r="Q28"/>
    </row>
    <row r="29" spans="1:17" ht="14" customHeight="1" thickBot="1" x14ac:dyDescent="0.2">
      <c r="A29" s="46"/>
      <c r="B29" s="46" t="s">
        <v>26</v>
      </c>
      <c r="C29" s="87"/>
      <c r="D29" s="88">
        <f>IF('A. History Input &amp; Output'!E33=0,IF('A. History Input &amp; Output'!G33=0,0,1),'A. History Input &amp; Output'!G33/'A. History Input &amp; Output'!E33-1)</f>
        <v>1.9133672787750244E-2</v>
      </c>
      <c r="E29" s="89"/>
      <c r="F29" s="88">
        <f>IF('A. History Input &amp; Output'!G33=0,IF('A. History Input &amp; Output'!I33=0,0,1),'A. History Input &amp; Output'!I33/'A. History Input &amp; Output'!G33-1)</f>
        <v>7.5757757565576345E-2</v>
      </c>
      <c r="G29" s="89"/>
      <c r="H29" s="88" t="e">
        <f>IF('A. History Input &amp; Output'!I33=0,IF('A. History Input &amp; Output'!K33=0,0,1),'A. History Input &amp; Output'!K33/'A. History Input &amp; Output'!IK33-1)</f>
        <v>#DIV/0!</v>
      </c>
      <c r="I29" s="89"/>
      <c r="J29" s="88">
        <f>IF('A. History Input &amp; Output'!K33=0,IF('A. History Input &amp; Output'!M33=0,0,1),'A. History Input &amp; Output'!M33/'A. History Input &amp; Output'!K33-1)</f>
        <v>-0.14006456541861545</v>
      </c>
      <c r="K29" s="89"/>
      <c r="L29" s="88">
        <f>IF('A. History Input &amp; Output'!M33=0,IF('A. History Input &amp; Output'!O33=0,0,1),'A. History Input &amp; Output'!O33/'A. History Input &amp; Output'!M33-1)</f>
        <v>8.9351484876374121E-2</v>
      </c>
      <c r="M29" s="90"/>
      <c r="N29" s="91">
        <f>(IF(F29=0,0,IF('A. History Input &amp; Output'!E33=0,"0",POWER('A. History Input &amp; Output'!M33/'A. History Input &amp; Output'!E33,1/4))))-1</f>
        <v>-3.644012977497546E-2</v>
      </c>
      <c r="O29" s="46"/>
      <c r="P29" s="91">
        <f>(IF(F29=0,0,IF('A. History Input &amp; Output'!E33=0,"0",POWER('A. History Input &amp; Output'!O33/'A. History Input &amp; Output'!E33,1/5))))-1</f>
        <v>-1.2501215994257908E-2</v>
      </c>
      <c r="Q29"/>
    </row>
    <row r="30" spans="1:17" ht="15" customHeight="1" thickBot="1" x14ac:dyDescent="0.2">
      <c r="A30" s="46"/>
      <c r="B30" s="46" t="s">
        <v>27</v>
      </c>
      <c r="C30" s="87"/>
      <c r="D30" s="88">
        <f>IF('A. History Input &amp; Output'!E34=0,IF('A. History Input &amp; Output'!G34=0,0,1),'A. History Input &amp; Output'!G34/'A. History Input &amp; Output'!E34-1)</f>
        <v>0.14141036775708038</v>
      </c>
      <c r="E30" s="89"/>
      <c r="F30" s="88">
        <f>IF('A. History Input &amp; Output'!G34=0,IF('A. History Input &amp; Output'!I34=0,0,1),'A. History Input &amp; Output'!I34/'A. History Input &amp; Output'!G34-1)</f>
        <v>-2.2798478189348992E-2</v>
      </c>
      <c r="G30" s="89"/>
      <c r="H30" s="88" t="e">
        <f>IF('A. History Input &amp; Output'!I34=0,IF('A. History Input &amp; Output'!K34=0,0,1),'A. History Input &amp; Output'!K34/'A. History Input &amp; Output'!IK34-1)</f>
        <v>#DIV/0!</v>
      </c>
      <c r="I30" s="89"/>
      <c r="J30" s="88">
        <f>IF('A. History Input &amp; Output'!K34=0,IF('A. History Input &amp; Output'!M34=0,0,1),'A. History Input &amp; Output'!M34/'A. History Input &amp; Output'!K34-1)</f>
        <v>-0.19722552000678406</v>
      </c>
      <c r="K30" s="89"/>
      <c r="L30" s="88">
        <f>IF('A. History Input &amp; Output'!M34=0,IF('A. History Input &amp; Output'!O34=0,0,1),'A. History Input &amp; Output'!O34/'A. History Input &amp; Output'!M34-1)</f>
        <v>-0.31725434938024988</v>
      </c>
      <c r="M30" s="90"/>
      <c r="N30" s="91">
        <f>(IF(F30=0,0,IF('A. History Input &amp; Output'!E34=0,"0",POWER('A. History Input &amp; Output'!M34/'A. History Input &amp; Output'!E34,1/4))))-1</f>
        <v>5.1831122223757742E-3</v>
      </c>
      <c r="O30" s="46"/>
      <c r="P30" s="91">
        <f>(IF(F30=0,0,IF('A. History Input &amp; Output'!E34=0,"0",POWER('A. History Input &amp; Output'!O34/'A. History Input &amp; Output'!E34,1/5))))-1</f>
        <v>-6.9646629664852355E-2</v>
      </c>
      <c r="Q30"/>
    </row>
    <row r="31" spans="1:17" ht="14" customHeight="1" thickBot="1" x14ac:dyDescent="0.2">
      <c r="A31" s="46"/>
      <c r="B31" s="55" t="s">
        <v>52</v>
      </c>
      <c r="C31" s="87"/>
      <c r="D31" s="88"/>
      <c r="E31" s="89"/>
      <c r="F31" s="88"/>
      <c r="G31" s="89"/>
      <c r="H31" s="88"/>
      <c r="I31" s="89"/>
      <c r="J31" s="88"/>
      <c r="K31" s="89"/>
      <c r="L31" s="88"/>
      <c r="M31" s="90"/>
      <c r="N31" s="91"/>
      <c r="O31" s="46"/>
      <c r="P31" s="91"/>
      <c r="Q31"/>
    </row>
    <row r="32" spans="1:17" ht="14" customHeight="1" thickBot="1" x14ac:dyDescent="0.2">
      <c r="A32" s="46"/>
      <c r="B32" s="46" t="s">
        <v>30</v>
      </c>
      <c r="C32" s="87"/>
      <c r="D32" s="88">
        <f>IF('A. History Input &amp; Output'!E36=0,IF('A. History Input &amp; Output'!G36=0,0,1),'A. History Input &amp; Output'!G36/'A. History Input &amp; Output'!E36-1)</f>
        <v>0.14141036775708038</v>
      </c>
      <c r="E32" s="89"/>
      <c r="F32" s="88">
        <f>IF('A. History Input &amp; Output'!G36=0,IF('A. History Input &amp; Output'!I36=0,0,1),'A. History Input &amp; Output'!I36/'A. History Input &amp; Output'!G36-1)</f>
        <v>-2.2798478189348992E-2</v>
      </c>
      <c r="G32" s="89"/>
      <c r="H32" s="88">
        <f>IF('A. History Input &amp; Output'!I36=0,IF('A. History Input &amp; Output'!K36=0,0,1),'A. History Input &amp; Output'!K36/'A. History Input &amp; Output'!I36-1)</f>
        <v>2.9471583316355909E-2</v>
      </c>
      <c r="I32" s="89"/>
      <c r="J32" s="88">
        <f>IF('A. History Input &amp; Output'!K36=0,IF('A. History Input &amp; Output'!M36=0,0,1),'A. History Input &amp; Output'!M36/'A. History Input &amp; Output'!K36-1)</f>
        <v>-0.11092085491185233</v>
      </c>
      <c r="K32" s="89"/>
      <c r="L32" s="88">
        <f>IF('A. History Input &amp; Output'!M36=0,IF('A. History Input &amp; Output'!O36=0,0,1),'A. History Input &amp; Output'!O36/'A. History Input &amp; Output'!M36-1)</f>
        <v>-0.31725434938024988</v>
      </c>
      <c r="M32" s="90"/>
      <c r="N32" s="91">
        <f>(IF(F32=0,0,IF('A. History Input &amp; Output'!E36=0,"0",POWER('A. History Input &amp; Output'!M36/'A. History Input &amp; Output'!E36,1/4))))-1</f>
        <v>5.1831122223757742E-3</v>
      </c>
      <c r="O32" s="46"/>
      <c r="P32" s="91">
        <f>(IF(F32=0,0,IF('A. History Input &amp; Output'!E36=0,"0",POWER('A. History Input &amp; Output'!O36/'A. History Input &amp; Output'!E36,1/5))))-1</f>
        <v>-6.9646629664852355E-2</v>
      </c>
      <c r="Q32"/>
    </row>
    <row r="33" spans="1:17" s="7" customFormat="1" ht="14" customHeight="1" thickBot="1" x14ac:dyDescent="0.2">
      <c r="A33" s="7" t="s">
        <v>36</v>
      </c>
      <c r="C33" s="26"/>
      <c r="D33" s="47">
        <f>IF('A. History Input &amp; Output'!E37=0,IF('A. History Input &amp; Output'!G37=0,0,1),'A. History Input &amp; Output'!G37/'A. History Input &amp; Output'!E37-1)</f>
        <v>7.3243457438196158E-2</v>
      </c>
      <c r="E33" s="39"/>
      <c r="F33" s="47">
        <f>IF('A. History Input &amp; Output'!G37=0,IF('A. History Input &amp; Output'!I37=0,0,1),'A. History Input &amp; Output'!I37/'A. History Input &amp; Output'!G37-1)</f>
        <v>2.9374656091419871E-2</v>
      </c>
      <c r="G33" s="39"/>
      <c r="H33" s="47">
        <f>IF('A. History Input &amp; Output'!I37=0,IF('A. History Input &amp; Output'!K37=0,0,1),'A. History Input &amp; Output'!K37/'A. History Input &amp; Output'!I37-1)</f>
        <v>-3.4227492143713345E-2</v>
      </c>
      <c r="I33" s="39"/>
      <c r="J33" s="47">
        <f>IF('A. History Input &amp; Output'!K37=0,IF('A. History Input &amp; Output'!M37=0,0,1),'A. History Input &amp; Output'!M37/'A. History Input &amp; Output'!K37-1)</f>
        <v>-0.12618516486281195</v>
      </c>
      <c r="K33" s="40"/>
      <c r="L33" s="47">
        <f>IF('A. History Input &amp; Output'!M37=0,IF('A. History Input &amp; Output'!O37=0,0,1),'A. History Input &amp; Output'!O37/'A. History Input &amp; Output'!M37-1)</f>
        <v>-0.10767312705428989</v>
      </c>
      <c r="M33" s="28"/>
      <c r="N33" s="44">
        <f>(IF(F33=0,0,IF('A. History Input &amp; Output'!E37=0,"0",POWER('A. History Input &amp; Output'!M37/'A. History Input &amp; Output'!E37,1/4))))-1</f>
        <v>-1.7366664625996009E-2</v>
      </c>
      <c r="O33"/>
      <c r="P33" s="44">
        <f>(IF(D33=0,0,IF('A. History Input &amp; Output'!C37=0,"0",POWER('A. History Input &amp; Output'!M37/'A. History Input &amp; Output'!C37,1/5))))-1</f>
        <v>-2.0481612040899488E-2</v>
      </c>
      <c r="Q33"/>
    </row>
    <row r="34" spans="1:17" ht="14" customHeight="1" x14ac:dyDescent="0.15">
      <c r="A34" s="38" t="s">
        <v>40</v>
      </c>
    </row>
    <row r="35" spans="1:17" ht="14" customHeight="1" x14ac:dyDescent="0.15">
      <c r="B35" s="38" t="s">
        <v>95</v>
      </c>
    </row>
  </sheetData>
  <mergeCells count="1">
    <mergeCell ref="A2:M2"/>
  </mergeCells>
  <phoneticPr fontId="2" type="noConversion"/>
  <conditionalFormatting sqref="N6:N27 N29:N33 P6:P27 P29:P33">
    <cfRule type="cellIs" dxfId="0" priority="6" operator="lessThan">
      <formula>1</formula>
    </cfRule>
  </conditionalFormatting>
  <printOptions horizontalCentered="1" verticalCentered="1" gridLines="1"/>
  <pageMargins left="0.45" right="0.45" top="1" bottom="1" header="0.5" footer="0.5"/>
  <pageSetup scale="96" orientation="landscape"/>
  <headerFooter alignWithMargins="0">
    <oddFooter>&amp;C&amp;8&amp;D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2:T37"/>
  <sheetViews>
    <sheetView showRuler="0" topLeftCell="A2" zoomScaleNormal="100" zoomScalePageLayoutView="125" workbookViewId="0">
      <pane xSplit="2" ySplit="5" topLeftCell="C11" activePane="bottomRight" state="frozen"/>
      <selection activeCell="A2" sqref="A2"/>
      <selection pane="topRight" activeCell="C2" sqref="C2"/>
      <selection pane="bottomLeft" activeCell="A7" sqref="A7"/>
      <selection pane="bottomRight" activeCell="E31" sqref="E31"/>
    </sheetView>
  </sheetViews>
  <sheetFormatPr baseColWidth="10" defaultColWidth="9.1640625" defaultRowHeight="16" x14ac:dyDescent="0.2"/>
  <cols>
    <col min="1" max="1" width="2" style="34" customWidth="1"/>
    <col min="2" max="2" width="45.5" style="34" customWidth="1"/>
    <col min="3" max="3" width="13" style="34" customWidth="1"/>
    <col min="4" max="4" width="2.6640625" style="34" customWidth="1"/>
    <col min="5" max="5" width="11.83203125" style="34" customWidth="1"/>
    <col min="6" max="6" width="3" style="34" customWidth="1"/>
    <col min="7" max="7" width="11.83203125" style="34" customWidth="1"/>
    <col min="8" max="8" width="2.6640625" style="34" customWidth="1"/>
    <col min="9" max="9" width="14.1640625" style="34" customWidth="1"/>
    <col min="10" max="10" width="3" style="34" customWidth="1"/>
    <col min="11" max="11" width="13.33203125" style="34" customWidth="1"/>
    <col min="12" max="12" width="3" style="34" customWidth="1"/>
    <col min="13" max="13" width="13.5" style="34" customWidth="1"/>
    <col min="14" max="14" width="2.6640625" style="34" customWidth="1"/>
    <col min="15" max="15" width="9.1640625" style="34"/>
    <col min="16" max="16" width="12.6640625" style="34" customWidth="1"/>
    <col min="17" max="17" width="11.83203125" style="34" customWidth="1"/>
    <col min="18" max="18" width="12.33203125" style="34" customWidth="1"/>
    <col min="19" max="19" width="12" style="34" customWidth="1"/>
    <col min="20" max="20" width="15" style="34" customWidth="1"/>
    <col min="21" max="16384" width="9.1640625" style="34"/>
  </cols>
  <sheetData>
    <row r="2" spans="1:20" ht="16" customHeight="1" x14ac:dyDescent="0.2">
      <c r="A2" s="297" t="s">
        <v>44</v>
      </c>
      <c r="E2" s="291"/>
    </row>
    <row r="3" spans="1:20" ht="19" x14ac:dyDescent="0.3">
      <c r="A3" s="350" t="str">
        <f>Setup!B6&amp;" Council Endowment History &amp; Assumptions"</f>
        <v>XXX Council Council Endowment History &amp; Assumptions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</row>
    <row r="4" spans="1:20" ht="8" customHeight="1" x14ac:dyDescent="0.2">
      <c r="M4" s="304"/>
    </row>
    <row r="5" spans="1:20" ht="22" customHeight="1" x14ac:dyDescent="0.2">
      <c r="C5" s="312" t="s">
        <v>114</v>
      </c>
      <c r="D5" s="313"/>
      <c r="E5" s="312" t="s">
        <v>114</v>
      </c>
      <c r="F5" s="313"/>
      <c r="G5" s="312" t="s">
        <v>114</v>
      </c>
      <c r="H5" s="313"/>
      <c r="I5" s="312" t="s">
        <v>114</v>
      </c>
      <c r="J5" s="313"/>
      <c r="K5" s="312" t="s">
        <v>114</v>
      </c>
      <c r="L5" s="314"/>
      <c r="M5" s="312"/>
      <c r="N5" s="314"/>
    </row>
    <row r="6" spans="1:20" ht="15" customHeight="1" x14ac:dyDescent="0.2">
      <c r="A6" s="33" t="s">
        <v>4</v>
      </c>
      <c r="C6" s="315">
        <f>Setup!$B4-5</f>
        <v>2015</v>
      </c>
      <c r="D6" s="315"/>
      <c r="E6" s="315">
        <f>Setup!$B4-4</f>
        <v>2016</v>
      </c>
      <c r="F6" s="315"/>
      <c r="G6" s="315">
        <f>Setup!$B4-3</f>
        <v>2017</v>
      </c>
      <c r="H6" s="315"/>
      <c r="I6" s="315">
        <f>Setup!$B4-2</f>
        <v>2018</v>
      </c>
      <c r="J6" s="315"/>
      <c r="K6" s="315">
        <f>Setup!$B4-1</f>
        <v>2019</v>
      </c>
      <c r="L6" s="315"/>
      <c r="M6" s="315"/>
      <c r="N6" s="314"/>
    </row>
    <row r="7" spans="1:20" ht="6" customHeight="1" x14ac:dyDescent="0.2">
      <c r="A7" s="33"/>
      <c r="C7" s="316"/>
      <c r="D7" s="314"/>
      <c r="E7" s="120"/>
      <c r="F7" s="314"/>
      <c r="G7" s="120"/>
      <c r="H7" s="314"/>
      <c r="I7" s="120"/>
      <c r="J7" s="314"/>
      <c r="K7" s="120"/>
      <c r="L7" s="314"/>
      <c r="M7" s="317"/>
      <c r="N7" s="314"/>
    </row>
    <row r="8" spans="1:20" ht="15" customHeight="1" thickBot="1" x14ac:dyDescent="0.25">
      <c r="A8" s="35" t="s">
        <v>122</v>
      </c>
      <c r="C8" s="318">
        <v>8155702.4100000001</v>
      </c>
      <c r="D8" s="140"/>
      <c r="E8" s="319">
        <f>C12</f>
        <v>10044082.789999999</v>
      </c>
      <c r="F8" s="320"/>
      <c r="G8" s="319">
        <f>E12</f>
        <v>9717468.7899999991</v>
      </c>
      <c r="H8" s="320"/>
      <c r="I8" s="319">
        <f>G12</f>
        <v>10221116.789999999</v>
      </c>
      <c r="J8" s="320"/>
      <c r="K8" s="319">
        <f>I12</f>
        <v>11671712.789999999</v>
      </c>
      <c r="L8" s="122"/>
      <c r="M8" s="321"/>
      <c r="N8" s="122"/>
    </row>
    <row r="9" spans="1:20" ht="15" customHeight="1" thickBot="1" x14ac:dyDescent="0.25">
      <c r="B9" s="34" t="s">
        <v>58</v>
      </c>
      <c r="C9" s="129">
        <v>1888380.38</v>
      </c>
      <c r="D9" s="122"/>
      <c r="E9" s="129">
        <f>9717469-10044083</f>
        <v>-326614</v>
      </c>
      <c r="F9" s="122"/>
      <c r="G9" s="129">
        <v>503648</v>
      </c>
      <c r="H9" s="122"/>
      <c r="I9" s="129">
        <v>1700596</v>
      </c>
      <c r="J9" s="122"/>
      <c r="K9" s="129">
        <f>-1318517+1</f>
        <v>-1318516</v>
      </c>
      <c r="L9" s="122"/>
      <c r="M9" s="322"/>
      <c r="N9" s="122"/>
    </row>
    <row r="10" spans="1:20" ht="15" customHeight="1" x14ac:dyDescent="0.2">
      <c r="B10" s="130" t="s">
        <v>57</v>
      </c>
      <c r="C10" s="128"/>
      <c r="D10" s="122"/>
      <c r="E10" s="128"/>
      <c r="F10" s="122"/>
      <c r="G10" s="128">
        <v>0</v>
      </c>
      <c r="H10" s="122"/>
      <c r="I10" s="128">
        <f>-250000</f>
        <v>-250000</v>
      </c>
      <c r="J10" s="122"/>
      <c r="K10" s="128">
        <v>0</v>
      </c>
      <c r="L10" s="122"/>
      <c r="M10" s="322"/>
      <c r="N10" s="122"/>
    </row>
    <row r="11" spans="1:20" ht="15" customHeight="1" x14ac:dyDescent="0.2">
      <c r="B11" s="130" t="s">
        <v>59</v>
      </c>
      <c r="C11" s="323">
        <v>0</v>
      </c>
      <c r="D11" s="122"/>
      <c r="E11" s="323">
        <v>0</v>
      </c>
      <c r="F11" s="122"/>
      <c r="G11" s="323">
        <v>0</v>
      </c>
      <c r="H11" s="122"/>
      <c r="I11" s="323">
        <v>0</v>
      </c>
      <c r="J11" s="122"/>
      <c r="K11" s="324">
        <f>-27000</f>
        <v>-27000</v>
      </c>
      <c r="L11" s="122"/>
      <c r="M11" s="322"/>
      <c r="N11" s="122"/>
      <c r="P11" s="285"/>
      <c r="Q11" s="285"/>
      <c r="R11" s="285"/>
      <c r="S11" s="285"/>
      <c r="T11" s="285"/>
    </row>
    <row r="12" spans="1:20" s="35" customFormat="1" ht="15" customHeight="1" x14ac:dyDescent="0.2">
      <c r="A12" s="35" t="s">
        <v>123</v>
      </c>
      <c r="C12" s="139">
        <f>SUM(C8:C11)</f>
        <v>10044082.789999999</v>
      </c>
      <c r="D12" s="122"/>
      <c r="E12" s="139">
        <f>SUM(E8:E11)</f>
        <v>9717468.7899999991</v>
      </c>
      <c r="F12" s="140"/>
      <c r="G12" s="139">
        <f>SUM(G8:G11)</f>
        <v>10221116.789999999</v>
      </c>
      <c r="H12" s="140"/>
      <c r="I12" s="139">
        <f>SUM(I8:I11)</f>
        <v>11671712.789999999</v>
      </c>
      <c r="J12" s="140"/>
      <c r="K12" s="139">
        <f>SUM(K8:K11)</f>
        <v>10326196.789999999</v>
      </c>
      <c r="L12" s="140"/>
      <c r="M12" s="139"/>
      <c r="N12" s="140"/>
      <c r="O12" s="34"/>
      <c r="P12" s="34"/>
      <c r="Q12" s="34"/>
      <c r="R12" s="34"/>
      <c r="S12" s="34"/>
    </row>
    <row r="13" spans="1:20" s="35" customFormat="1" ht="8" customHeight="1" thickBot="1" x14ac:dyDescent="0.25">
      <c r="C13" s="139"/>
      <c r="D13" s="122"/>
      <c r="E13" s="139"/>
      <c r="F13" s="140"/>
      <c r="G13" s="139"/>
      <c r="H13" s="140"/>
      <c r="I13" s="139"/>
      <c r="J13" s="140"/>
      <c r="K13" s="139"/>
      <c r="L13" s="140"/>
      <c r="M13" s="321"/>
      <c r="N13" s="140"/>
      <c r="O13" s="34"/>
      <c r="P13" s="34"/>
      <c r="Q13" s="34"/>
      <c r="R13" s="34"/>
      <c r="S13" s="34"/>
    </row>
    <row r="14" spans="1:20" s="35" customFormat="1" ht="6" customHeight="1" x14ac:dyDescent="0.2">
      <c r="A14" s="325"/>
      <c r="B14" s="325"/>
      <c r="C14" s="326"/>
      <c r="D14" s="327"/>
      <c r="E14" s="326"/>
      <c r="F14" s="328"/>
      <c r="G14" s="326"/>
      <c r="H14" s="328"/>
      <c r="I14" s="326"/>
      <c r="J14" s="328"/>
      <c r="K14" s="326"/>
      <c r="L14" s="328"/>
      <c r="M14" s="329"/>
      <c r="N14" s="140"/>
      <c r="O14" s="34"/>
      <c r="P14" s="34"/>
      <c r="Q14" s="34"/>
      <c r="R14" s="34"/>
      <c r="S14" s="34"/>
    </row>
    <row r="15" spans="1:20" s="35" customFormat="1" ht="8" customHeight="1" x14ac:dyDescent="0.2">
      <c r="C15" s="139"/>
      <c r="D15" s="122"/>
      <c r="E15" s="139"/>
      <c r="F15" s="140"/>
      <c r="G15" s="139"/>
      <c r="H15" s="140"/>
      <c r="I15" s="139"/>
      <c r="J15" s="140"/>
      <c r="K15" s="139"/>
      <c r="L15" s="140"/>
      <c r="M15" s="139"/>
      <c r="N15" s="140"/>
      <c r="O15" s="34"/>
      <c r="P15" s="34"/>
      <c r="Q15" s="34"/>
      <c r="R15" s="34"/>
      <c r="S15" s="34"/>
    </row>
    <row r="16" spans="1:20" s="35" customFormat="1" ht="15" customHeight="1" x14ac:dyDescent="0.2">
      <c r="A16" s="33" t="s">
        <v>11</v>
      </c>
      <c r="C16" s="139"/>
      <c r="D16" s="122"/>
      <c r="E16" s="139"/>
      <c r="F16" s="140"/>
      <c r="G16" s="139"/>
      <c r="H16" s="140"/>
      <c r="I16" s="139"/>
      <c r="J16" s="140"/>
      <c r="K16" s="139"/>
      <c r="L16" s="140"/>
      <c r="M16" s="139"/>
      <c r="N16" s="140"/>
      <c r="O16" s="34"/>
      <c r="P16" s="34"/>
      <c r="Q16" s="34"/>
      <c r="R16" s="34"/>
      <c r="S16" s="34"/>
    </row>
    <row r="17" spans="1:19" ht="20" customHeight="1" x14ac:dyDescent="0.2">
      <c r="C17" s="313"/>
      <c r="D17" s="122"/>
      <c r="E17" s="312" t="s">
        <v>187</v>
      </c>
      <c r="F17" s="312"/>
      <c r="G17" s="312" t="s">
        <v>187</v>
      </c>
      <c r="H17" s="312"/>
      <c r="I17" s="312" t="s">
        <v>187</v>
      </c>
      <c r="J17" s="312"/>
      <c r="K17" s="312" t="s">
        <v>187</v>
      </c>
      <c r="L17" s="312"/>
      <c r="M17" s="312" t="s">
        <v>187</v>
      </c>
      <c r="N17" s="314"/>
    </row>
    <row r="18" spans="1:19" ht="15" customHeight="1" x14ac:dyDescent="0.2">
      <c r="A18" s="33" t="s">
        <v>60</v>
      </c>
      <c r="C18" s="135"/>
      <c r="D18" s="122"/>
      <c r="E18" s="330">
        <f>M6+1</f>
        <v>1</v>
      </c>
      <c r="F18" s="330"/>
      <c r="G18" s="330">
        <f>$E18+1</f>
        <v>2</v>
      </c>
      <c r="H18" s="330"/>
      <c r="I18" s="330">
        <f>$E18+2</f>
        <v>3</v>
      </c>
      <c r="J18" s="330"/>
      <c r="K18" s="330">
        <f>$E18+3</f>
        <v>4</v>
      </c>
      <c r="L18" s="330"/>
      <c r="M18" s="330">
        <f>$E18+4</f>
        <v>5</v>
      </c>
      <c r="N18" s="122"/>
    </row>
    <row r="19" spans="1:19" ht="6" customHeight="1" x14ac:dyDescent="0.2">
      <c r="A19" s="33"/>
      <c r="C19" s="135"/>
      <c r="D19" s="122"/>
      <c r="E19" s="135"/>
      <c r="F19" s="122"/>
      <c r="G19" s="135"/>
      <c r="H19" s="122"/>
      <c r="I19" s="135"/>
      <c r="J19" s="122"/>
      <c r="K19" s="135"/>
      <c r="L19" s="122"/>
      <c r="M19" s="135"/>
      <c r="N19" s="122"/>
    </row>
    <row r="20" spans="1:19" ht="15" customHeight="1" thickBot="1" x14ac:dyDescent="0.25">
      <c r="B20" s="34" t="s">
        <v>204</v>
      </c>
      <c r="C20" s="331"/>
      <c r="D20" s="122"/>
      <c r="E20" s="331">
        <f>Setup!$B10</f>
        <v>4.4999999999999998E-2</v>
      </c>
      <c r="F20" s="122"/>
      <c r="G20" s="331">
        <f>Setup!$B10</f>
        <v>4.4999999999999998E-2</v>
      </c>
      <c r="H20" s="122"/>
      <c r="I20" s="331">
        <f>Setup!$B10</f>
        <v>4.4999999999999998E-2</v>
      </c>
      <c r="J20" s="122"/>
      <c r="K20" s="331">
        <f>Setup!$B10</f>
        <v>4.4999999999999998E-2</v>
      </c>
      <c r="L20" s="122"/>
      <c r="M20" s="331">
        <f>Setup!$B10</f>
        <v>4.4999999999999998E-2</v>
      </c>
      <c r="N20" s="122"/>
    </row>
    <row r="21" spans="1:19" ht="15" customHeight="1" thickBot="1" x14ac:dyDescent="0.25">
      <c r="B21" s="34" t="s">
        <v>205</v>
      </c>
      <c r="C21" s="131"/>
      <c r="D21" s="122"/>
      <c r="E21" s="131">
        <f>Setup!$B12</f>
        <v>3</v>
      </c>
      <c r="F21" s="122"/>
      <c r="G21" s="131">
        <f>Setup!$B12</f>
        <v>3</v>
      </c>
      <c r="H21" s="122"/>
      <c r="I21" s="131">
        <f>Setup!$B12</f>
        <v>3</v>
      </c>
      <c r="J21" s="122"/>
      <c r="K21" s="131">
        <f>Setup!$B12</f>
        <v>3</v>
      </c>
      <c r="L21" s="122"/>
      <c r="M21" s="131">
        <f>Setup!$B12</f>
        <v>3</v>
      </c>
      <c r="N21" s="122"/>
    </row>
    <row r="22" spans="1:19" ht="15" customHeight="1" x14ac:dyDescent="0.2">
      <c r="A22" s="35" t="s">
        <v>124</v>
      </c>
      <c r="C22" s="332"/>
      <c r="D22" s="122"/>
      <c r="E22" s="332">
        <f>IF(E21=1,C36,IF(E21=2,(C36+K12)/2,IF(E21=3,(C36+I12+K12)/3,IF(E21=4,(C36+G12+I12+K12)/4,C36+E12+G12+I12+K12)/5)))*E20</f>
        <v>491696.13290174998</v>
      </c>
      <c r="F22" s="122"/>
      <c r="G22" s="332">
        <f>IF(G21=1,E36,IF(G21=2,(C36+E36)/2,IF(G21=3,(C36+E36+K12)/3,IF(G21=4,(C36+E36+I12+K12)/4,C36+E36+G12+I12+K12)/5)))*G20</f>
        <v>479867.50016606995</v>
      </c>
      <c r="H22" s="332"/>
      <c r="I22" s="332">
        <f>IF(I21=1,G36,IF(I21=2,(G36+E36)/2,IF(I21=3,(C36+E36+G36)/3,IF(I21=4,(C36+E36+G36+K12)/4,C36+E36+G36+I12+K12)/5)))*I20</f>
        <v>490002.18317918648</v>
      </c>
      <c r="J22" s="332"/>
      <c r="K22" s="332">
        <f>IF(K21=1,I36,IF(K21=2,(G36+I36)/2,IF(K21=3,(I36+E36+G36)/3,IF(K21=4,(C36+E36+G36+I36)/4,C36+E36+G36+I36+K12)/5)))*K20</f>
        <v>495028.81601033662</v>
      </c>
      <c r="L22" s="332"/>
      <c r="M22" s="332">
        <f>IF(M21=1,K36,IF(M21=2,(K36+I36)/2,IF(M21=3,(I36+K36+G36)/3,IF(M21=4,(K36+E36+G36+I36)/4,C36+E36+G36+I36+K36)/5)))*M20</f>
        <v>500281.92340057122</v>
      </c>
      <c r="N22" s="122"/>
    </row>
    <row r="23" spans="1:19" s="114" customFormat="1" ht="8" customHeight="1" x14ac:dyDescent="0.2">
      <c r="B23" s="302"/>
      <c r="C23" s="333"/>
      <c r="D23" s="122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4"/>
      <c r="P23" s="34"/>
      <c r="Q23" s="34"/>
      <c r="R23" s="34"/>
      <c r="S23" s="34"/>
    </row>
    <row r="24" spans="1:19" s="114" customFormat="1" ht="7" customHeight="1" x14ac:dyDescent="0.2">
      <c r="B24" s="302"/>
      <c r="C24" s="333"/>
      <c r="D24" s="122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4"/>
      <c r="P24" s="34"/>
      <c r="Q24" s="34"/>
      <c r="R24" s="34"/>
      <c r="S24" s="34"/>
    </row>
    <row r="25" spans="1:19" s="114" customFormat="1" ht="24" customHeight="1" x14ac:dyDescent="0.2">
      <c r="B25" s="302"/>
      <c r="C25" s="312" t="s">
        <v>99</v>
      </c>
      <c r="D25" s="333"/>
      <c r="E25" s="312" t="s">
        <v>187</v>
      </c>
      <c r="F25" s="334"/>
      <c r="G25" s="312" t="s">
        <v>187</v>
      </c>
      <c r="H25" s="334"/>
      <c r="I25" s="312" t="s">
        <v>187</v>
      </c>
      <c r="J25" s="334"/>
      <c r="K25" s="312" t="s">
        <v>187</v>
      </c>
      <c r="L25" s="334"/>
      <c r="M25" s="312" t="s">
        <v>187</v>
      </c>
      <c r="N25" s="333"/>
      <c r="O25" s="34"/>
      <c r="P25" s="34"/>
      <c r="Q25" s="34"/>
      <c r="R25" s="34"/>
      <c r="S25" s="34"/>
    </row>
    <row r="26" spans="1:19" s="114" customFormat="1" ht="18" customHeight="1" x14ac:dyDescent="0.2">
      <c r="A26" s="33" t="s">
        <v>7</v>
      </c>
      <c r="B26" s="302"/>
      <c r="C26" s="335">
        <f>K6+1</f>
        <v>2020</v>
      </c>
      <c r="D26" s="122"/>
      <c r="E26" s="335">
        <f>$C26+1</f>
        <v>2021</v>
      </c>
      <c r="F26" s="335"/>
      <c r="G26" s="335">
        <f>$C26+2</f>
        <v>2022</v>
      </c>
      <c r="H26" s="335"/>
      <c r="I26" s="335">
        <f>$C26+3</f>
        <v>2023</v>
      </c>
      <c r="J26" s="335"/>
      <c r="K26" s="335">
        <f>$C26+4</f>
        <v>2024</v>
      </c>
      <c r="L26" s="335"/>
      <c r="M26" s="335">
        <f>$C26+5</f>
        <v>2025</v>
      </c>
      <c r="N26" s="333"/>
      <c r="O26" s="34"/>
      <c r="P26" s="34"/>
      <c r="Q26" s="34"/>
      <c r="R26" s="34"/>
      <c r="S26" s="34"/>
    </row>
    <row r="27" spans="1:19" s="114" customFormat="1" ht="6" customHeight="1" thickBot="1" x14ac:dyDescent="0.25">
      <c r="A27" s="33"/>
      <c r="B27" s="302"/>
      <c r="C27" s="333"/>
      <c r="D27" s="122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4"/>
      <c r="P27" s="34"/>
      <c r="Q27" s="34"/>
      <c r="R27" s="34"/>
      <c r="S27" s="34"/>
    </row>
    <row r="28" spans="1:19" ht="15" customHeight="1" thickBot="1" x14ac:dyDescent="0.25">
      <c r="A28" s="35" t="s">
        <v>6</v>
      </c>
      <c r="C28" s="336">
        <f>K12</f>
        <v>10326196.789999999</v>
      </c>
      <c r="D28" s="122"/>
      <c r="E28" s="336">
        <f>C36</f>
        <v>10781832.613449998</v>
      </c>
      <c r="F28" s="122"/>
      <c r="G28" s="336">
        <f>E36</f>
        <v>10883137.274287997</v>
      </c>
      <c r="H28" s="122"/>
      <c r="I28" s="336">
        <f>G36</f>
        <v>11001842.324207768</v>
      </c>
      <c r="J28" s="122"/>
      <c r="K28" s="336">
        <f>I36</f>
        <v>11116941.468860008</v>
      </c>
      <c r="L28" s="122"/>
      <c r="M28" s="336">
        <f>K36</f>
        <v>11233344.433636971</v>
      </c>
      <c r="N28" s="122"/>
    </row>
    <row r="29" spans="1:19" ht="15" customHeight="1" thickBot="1" x14ac:dyDescent="0.25">
      <c r="B29" s="34" t="s">
        <v>206</v>
      </c>
      <c r="C29" s="331">
        <f>Setup!$B14</f>
        <v>5.5E-2</v>
      </c>
      <c r="D29" s="122"/>
      <c r="E29" s="331">
        <f>Setup!$B14</f>
        <v>5.5E-2</v>
      </c>
      <c r="F29" s="122"/>
      <c r="G29" s="331">
        <f>Setup!$B14</f>
        <v>5.5E-2</v>
      </c>
      <c r="H29" s="122"/>
      <c r="I29" s="331">
        <f>Setup!$B14</f>
        <v>5.5E-2</v>
      </c>
      <c r="J29" s="122"/>
      <c r="K29" s="331">
        <f>Setup!$B14</f>
        <v>5.5E-2</v>
      </c>
      <c r="L29" s="122"/>
      <c r="M29" s="331">
        <f>Setup!$B14</f>
        <v>5.5E-2</v>
      </c>
      <c r="N29" s="122"/>
    </row>
    <row r="30" spans="1:19" ht="15" customHeight="1" thickBot="1" x14ac:dyDescent="0.25">
      <c r="B30" s="34" t="s">
        <v>63</v>
      </c>
      <c r="C30" s="131">
        <f>C28*C29</f>
        <v>567940.82344999991</v>
      </c>
      <c r="D30" s="333"/>
      <c r="E30" s="131">
        <f>E28*E29</f>
        <v>593000.79373974993</v>
      </c>
      <c r="F30" s="333"/>
      <c r="G30" s="131">
        <f>G28*G29</f>
        <v>598572.55008583982</v>
      </c>
      <c r="H30" s="333"/>
      <c r="I30" s="131">
        <f>I28*I29</f>
        <v>605101.32783142722</v>
      </c>
      <c r="J30" s="333"/>
      <c r="K30" s="131">
        <f>K28*K29</f>
        <v>611431.78078730043</v>
      </c>
      <c r="L30" s="333"/>
      <c r="M30" s="131">
        <f>M28*M29</f>
        <v>617833.94385003345</v>
      </c>
      <c r="N30" s="122"/>
    </row>
    <row r="31" spans="1:19" s="35" customFormat="1" ht="17" thickBot="1" x14ac:dyDescent="0.25">
      <c r="B31" s="130" t="s">
        <v>53</v>
      </c>
      <c r="C31" s="337">
        <f>'A. History Input &amp; Output'!O20</f>
        <v>114805</v>
      </c>
      <c r="D31" s="122"/>
      <c r="E31" s="338">
        <f>E22</f>
        <v>491696.13290174998</v>
      </c>
      <c r="F31" s="140"/>
      <c r="G31" s="338">
        <f>G22</f>
        <v>479867.50016606995</v>
      </c>
      <c r="H31" s="140"/>
      <c r="I31" s="338">
        <f>I22</f>
        <v>490002.18317918648</v>
      </c>
      <c r="J31" s="140"/>
      <c r="K31" s="339">
        <f>K22</f>
        <v>495028.81601033662</v>
      </c>
      <c r="L31" s="140"/>
      <c r="M31" s="339">
        <f>M22</f>
        <v>500281.92340057122</v>
      </c>
      <c r="N31" s="140"/>
      <c r="O31" s="34"/>
      <c r="P31" s="34"/>
      <c r="Q31" s="34"/>
      <c r="R31" s="34"/>
      <c r="S31" s="34"/>
    </row>
    <row r="32" spans="1:19" s="35" customFormat="1" ht="15" customHeight="1" thickBot="1" x14ac:dyDescent="0.25">
      <c r="B32" s="130" t="s">
        <v>207</v>
      </c>
      <c r="C32" s="339">
        <v>0</v>
      </c>
      <c r="D32" s="122"/>
      <c r="E32" s="339">
        <f>'D. Growth Plan'!D38</f>
        <v>0</v>
      </c>
      <c r="F32" s="340"/>
      <c r="G32" s="339">
        <f>'D. Growth Plan'!G38</f>
        <v>0</v>
      </c>
      <c r="H32" s="340"/>
      <c r="I32" s="339">
        <f>'D. Growth Plan'!J38</f>
        <v>0</v>
      </c>
      <c r="J32" s="340"/>
      <c r="K32" s="339">
        <f>'D. Growth Plan'!M38</f>
        <v>0</v>
      </c>
      <c r="L32" s="340"/>
      <c r="M32" s="339">
        <f>'D. Growth Plan'!P38</f>
        <v>0</v>
      </c>
      <c r="N32" s="140"/>
    </row>
    <row r="33" spans="1:14" s="35" customFormat="1" ht="14" customHeight="1" thickBot="1" x14ac:dyDescent="0.25">
      <c r="B33" s="130"/>
      <c r="C33" s="341"/>
      <c r="D33" s="342"/>
      <c r="E33" s="341"/>
      <c r="F33" s="342"/>
      <c r="G33" s="341"/>
      <c r="H33" s="342"/>
      <c r="I33" s="341"/>
      <c r="J33" s="342"/>
      <c r="K33" s="341"/>
      <c r="L33" s="140"/>
      <c r="M33" s="343"/>
      <c r="N33" s="140"/>
    </row>
    <row r="34" spans="1:14" s="35" customFormat="1" ht="21" customHeight="1" thickBot="1" x14ac:dyDescent="0.25">
      <c r="B34" s="35" t="s">
        <v>54</v>
      </c>
      <c r="C34" s="346">
        <v>2500</v>
      </c>
      <c r="D34" s="122"/>
      <c r="E34" s="322">
        <f>'D. Growth Plan'!D37</f>
        <v>0</v>
      </c>
      <c r="F34" s="122"/>
      <c r="G34" s="322">
        <f>'D. Growth Plan'!G37</f>
        <v>0</v>
      </c>
      <c r="H34" s="122"/>
      <c r="I34" s="322">
        <f>'D. Growth Plan'!J37</f>
        <v>0</v>
      </c>
      <c r="J34" s="122"/>
      <c r="K34" s="322">
        <f>'D. Growth Plan'!M37</f>
        <v>0</v>
      </c>
      <c r="L34" s="140"/>
      <c r="M34" s="344">
        <f>'D. Growth Plan'!P37</f>
        <v>0</v>
      </c>
      <c r="N34" s="140"/>
    </row>
    <row r="35" spans="1:14" s="35" customFormat="1" ht="15" customHeight="1" thickBot="1" x14ac:dyDescent="0.25">
      <c r="B35" s="130" t="s">
        <v>208</v>
      </c>
      <c r="C35" s="341"/>
      <c r="D35" s="342"/>
      <c r="E35" s="341"/>
      <c r="F35" s="342"/>
      <c r="G35" s="341"/>
      <c r="H35" s="342"/>
      <c r="I35" s="341"/>
      <c r="J35" s="342"/>
      <c r="K35" s="341"/>
      <c r="L35" s="140"/>
      <c r="M35" s="343"/>
      <c r="N35" s="140"/>
    </row>
    <row r="36" spans="1:14" ht="15" customHeight="1" thickBot="1" x14ac:dyDescent="0.25">
      <c r="A36" s="35" t="s">
        <v>5</v>
      </c>
      <c r="C36" s="336">
        <f>C28+C30-C31-C32+C34</f>
        <v>10781832.613449998</v>
      </c>
      <c r="D36" s="122"/>
      <c r="E36" s="336">
        <f>E28+E30-E31-E32+E34</f>
        <v>10883137.274287997</v>
      </c>
      <c r="F36" s="345"/>
      <c r="G36" s="336">
        <f>G28+G30-G31-G32+G34</f>
        <v>11001842.324207768</v>
      </c>
      <c r="H36" s="345"/>
      <c r="I36" s="336">
        <f>I28+I30-I31-I32+I34</f>
        <v>11116941.468860008</v>
      </c>
      <c r="J36" s="345"/>
      <c r="K36" s="336">
        <f>K28+K30-K31-K32+K34</f>
        <v>11233344.433636971</v>
      </c>
      <c r="L36" s="345"/>
      <c r="M36" s="336">
        <f>M28+M30-M31-M32+M34</f>
        <v>11350896.454086432</v>
      </c>
      <c r="N36" s="141"/>
    </row>
    <row r="37" spans="1:14" x14ac:dyDescent="0.2">
      <c r="D37" s="122"/>
    </row>
  </sheetData>
  <mergeCells count="1">
    <mergeCell ref="A3:N3"/>
  </mergeCells>
  <phoneticPr fontId="2" type="noConversion"/>
  <printOptions horizontalCentered="1" verticalCentered="1" gridLines="1"/>
  <pageMargins left="0.45" right="0.45" top="1" bottom="1" header="0.5" footer="0.5"/>
  <pageSetup scale="85" orientation="landscape"/>
  <headerFooter alignWithMargins="0">
    <oddFooter>&amp;C&amp;8&amp;D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2:Q38"/>
  <sheetViews>
    <sheetView view="pageLayout" zoomScale="130" zoomScaleNormal="100" zoomScalePageLayoutView="130" workbookViewId="0">
      <selection activeCell="P20" sqref="P20"/>
    </sheetView>
  </sheetViews>
  <sheetFormatPr baseColWidth="10" defaultColWidth="9.1640625" defaultRowHeight="11" x14ac:dyDescent="0.15"/>
  <cols>
    <col min="1" max="1" width="2" style="1" customWidth="1"/>
    <col min="2" max="2" width="27.6640625" style="1" customWidth="1"/>
    <col min="3" max="3" width="7.6640625" style="14" customWidth="1"/>
    <col min="4" max="4" width="9.1640625" style="1"/>
    <col min="5" max="5" width="1.1640625" style="18" customWidth="1"/>
    <col min="6" max="6" width="7.6640625" style="1" customWidth="1"/>
    <col min="7" max="7" width="9.1640625" style="1"/>
    <col min="8" max="8" width="1.5" style="1" customWidth="1"/>
    <col min="9" max="9" width="7.6640625" style="1" customWidth="1"/>
    <col min="10" max="10" width="9.1640625" style="1"/>
    <col min="11" max="11" width="1.1640625" style="1" customWidth="1"/>
    <col min="12" max="12" width="7.6640625" style="1" customWidth="1"/>
    <col min="13" max="13" width="9.1640625" style="1"/>
    <col min="14" max="14" width="1.1640625" style="1" customWidth="1"/>
    <col min="15" max="15" width="7.6640625" style="1" customWidth="1"/>
    <col min="16" max="16384" width="9.1640625" style="1"/>
  </cols>
  <sheetData>
    <row r="2" spans="1:17" ht="16" customHeight="1" x14ac:dyDescent="0.2">
      <c r="A2" s="113" t="s">
        <v>109</v>
      </c>
      <c r="G2" s="43" t="str">
        <f>Setup!B2</f>
        <v xml:space="preserve">Five Year Operating and Membership Plan </v>
      </c>
    </row>
    <row r="3" spans="1:17" ht="26" x14ac:dyDescent="0.4">
      <c r="A3" s="349" t="str">
        <f>Setup!B6&amp;" Council Plan Growth Assumptions"</f>
        <v>XXX Council Council Plan Growth Assumptions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</row>
    <row r="4" spans="1:17" ht="11" customHeight="1" x14ac:dyDescent="0.15"/>
    <row r="5" spans="1:17" s="22" customFormat="1" ht="18" customHeight="1" thickBot="1" x14ac:dyDescent="0.2">
      <c r="C5" s="351">
        <f>Setup!$B4+1</f>
        <v>2021</v>
      </c>
      <c r="D5" s="351"/>
      <c r="E5" s="57"/>
      <c r="F5" s="351">
        <f>Setup!$B4+2</f>
        <v>2022</v>
      </c>
      <c r="G5" s="351"/>
      <c r="H5" s="57"/>
      <c r="I5" s="351">
        <f>Setup!$B4+3</f>
        <v>2023</v>
      </c>
      <c r="J5" s="351"/>
      <c r="K5" s="57"/>
      <c r="L5" s="351">
        <f>Setup!$B4+4</f>
        <v>2024</v>
      </c>
      <c r="M5" s="351"/>
      <c r="N5" s="57"/>
      <c r="O5" s="351">
        <f>Setup!$B4+5</f>
        <v>2025</v>
      </c>
      <c r="P5" s="351"/>
    </row>
    <row r="6" spans="1:17" ht="30" customHeight="1" thickBot="1" x14ac:dyDescent="0.25">
      <c r="A6" s="33" t="s">
        <v>39</v>
      </c>
      <c r="C6" s="258" t="s">
        <v>1</v>
      </c>
      <c r="D6" s="259" t="s">
        <v>2</v>
      </c>
      <c r="E6" s="19"/>
      <c r="F6" s="258" t="s">
        <v>1</v>
      </c>
      <c r="G6" s="259" t="s">
        <v>2</v>
      </c>
      <c r="H6" s="19"/>
      <c r="I6" s="258" t="s">
        <v>1</v>
      </c>
      <c r="J6" s="259" t="s">
        <v>2</v>
      </c>
      <c r="K6" s="19"/>
      <c r="L6" s="258" t="s">
        <v>1</v>
      </c>
      <c r="M6" s="259" t="s">
        <v>2</v>
      </c>
      <c r="N6" s="19"/>
      <c r="O6" s="258" t="s">
        <v>1</v>
      </c>
      <c r="P6" s="259" t="s">
        <v>2</v>
      </c>
    </row>
    <row r="7" spans="1:17" ht="4" customHeight="1" thickBot="1" x14ac:dyDescent="0.2">
      <c r="A7" s="4"/>
      <c r="D7" s="2"/>
      <c r="E7" s="23"/>
      <c r="F7" s="3"/>
      <c r="G7" s="2"/>
      <c r="H7" s="23"/>
      <c r="I7" s="3"/>
      <c r="J7" s="2"/>
      <c r="K7" s="23"/>
      <c r="L7" s="3"/>
      <c r="M7" s="2"/>
      <c r="N7" s="23"/>
      <c r="O7" s="3"/>
      <c r="P7" s="2"/>
    </row>
    <row r="8" spans="1:17" ht="15" customHeight="1" thickBot="1" x14ac:dyDescent="0.2">
      <c r="B8" s="46" t="s">
        <v>15</v>
      </c>
      <c r="C8" s="58">
        <v>0.03</v>
      </c>
      <c r="D8" s="59">
        <v>0</v>
      </c>
      <c r="E8" s="260"/>
      <c r="F8" s="58">
        <v>0.03</v>
      </c>
      <c r="G8" s="59">
        <v>0</v>
      </c>
      <c r="H8" s="265"/>
      <c r="I8" s="58">
        <v>0.03</v>
      </c>
      <c r="J8" s="59">
        <v>0</v>
      </c>
      <c r="K8" s="265"/>
      <c r="L8" s="58">
        <v>0.03</v>
      </c>
      <c r="M8" s="59">
        <v>0</v>
      </c>
      <c r="N8" s="265"/>
      <c r="O8" s="58">
        <v>0.03</v>
      </c>
      <c r="P8" s="59">
        <v>0</v>
      </c>
      <c r="Q8" s="20"/>
    </row>
    <row r="9" spans="1:17" ht="15" customHeight="1" thickBot="1" x14ac:dyDescent="0.2">
      <c r="B9" s="46" t="s">
        <v>13</v>
      </c>
      <c r="C9" s="58">
        <v>0</v>
      </c>
      <c r="D9" s="60"/>
      <c r="E9" s="260"/>
      <c r="F9" s="58">
        <v>0</v>
      </c>
      <c r="G9" s="60"/>
      <c r="H9" s="265"/>
      <c r="I9" s="58">
        <v>0</v>
      </c>
      <c r="J9" s="60"/>
      <c r="K9" s="265"/>
      <c r="L9" s="58">
        <v>0</v>
      </c>
      <c r="M9" s="60"/>
      <c r="N9" s="265"/>
      <c r="O9" s="58">
        <v>0</v>
      </c>
      <c r="P9" s="60"/>
      <c r="Q9" s="20"/>
    </row>
    <row r="10" spans="1:17" ht="15" customHeight="1" thickBot="1" x14ac:dyDescent="0.2">
      <c r="B10" s="46" t="s">
        <v>16</v>
      </c>
      <c r="C10" s="58">
        <v>0.03</v>
      </c>
      <c r="D10" s="60">
        <v>0</v>
      </c>
      <c r="E10" s="260"/>
      <c r="F10" s="58">
        <v>0.03</v>
      </c>
      <c r="G10" s="60"/>
      <c r="H10" s="265"/>
      <c r="I10" s="58">
        <v>0.03</v>
      </c>
      <c r="J10" s="60">
        <v>0</v>
      </c>
      <c r="K10" s="265"/>
      <c r="L10" s="58">
        <v>0.03</v>
      </c>
      <c r="M10" s="60">
        <v>0</v>
      </c>
      <c r="N10" s="265"/>
      <c r="O10" s="58">
        <v>0.03</v>
      </c>
      <c r="P10" s="60"/>
      <c r="Q10" s="20"/>
    </row>
    <row r="11" spans="1:17" ht="15" customHeight="1" thickBot="1" x14ac:dyDescent="0.2">
      <c r="B11" s="46" t="s">
        <v>17</v>
      </c>
      <c r="C11" s="58">
        <v>0</v>
      </c>
      <c r="D11" s="60"/>
      <c r="E11" s="260"/>
      <c r="F11" s="58">
        <v>0</v>
      </c>
      <c r="G11" s="60"/>
      <c r="H11" s="265"/>
      <c r="I11" s="58">
        <v>0</v>
      </c>
      <c r="J11" s="60"/>
      <c r="K11" s="265"/>
      <c r="L11" s="58">
        <v>0</v>
      </c>
      <c r="M11" s="60"/>
      <c r="N11" s="265"/>
      <c r="O11" s="58">
        <v>0</v>
      </c>
      <c r="P11" s="60"/>
      <c r="Q11" s="20"/>
    </row>
    <row r="12" spans="1:17" ht="15" customHeight="1" thickBot="1" x14ac:dyDescent="0.2">
      <c r="B12" s="46" t="s">
        <v>14</v>
      </c>
      <c r="C12" s="58">
        <v>0</v>
      </c>
      <c r="D12" s="60">
        <v>0</v>
      </c>
      <c r="E12" s="260"/>
      <c r="F12" s="58">
        <v>0</v>
      </c>
      <c r="G12" s="60">
        <v>0</v>
      </c>
      <c r="H12" s="265"/>
      <c r="I12" s="58">
        <v>0</v>
      </c>
      <c r="J12" s="60">
        <v>0</v>
      </c>
      <c r="K12" s="265"/>
      <c r="L12" s="58">
        <v>0</v>
      </c>
      <c r="M12" s="60">
        <v>0</v>
      </c>
      <c r="N12" s="265"/>
      <c r="O12" s="58">
        <v>0</v>
      </c>
      <c r="P12" s="60"/>
      <c r="Q12" s="20"/>
    </row>
    <row r="13" spans="1:17" ht="15" customHeight="1" x14ac:dyDescent="0.15">
      <c r="B13" s="46" t="s">
        <v>18</v>
      </c>
      <c r="C13" s="69">
        <v>0</v>
      </c>
      <c r="D13" s="61"/>
      <c r="E13" s="260"/>
      <c r="F13" s="69">
        <v>0</v>
      </c>
      <c r="G13" s="61"/>
      <c r="H13" s="265"/>
      <c r="I13" s="69">
        <v>0</v>
      </c>
      <c r="J13" s="61"/>
      <c r="K13" s="265"/>
      <c r="L13" s="69">
        <v>0</v>
      </c>
      <c r="M13" s="61"/>
      <c r="N13" s="265"/>
      <c r="O13" s="69">
        <v>0</v>
      </c>
      <c r="P13" s="61"/>
      <c r="Q13" s="20"/>
    </row>
    <row r="14" spans="1:17" ht="15" customHeight="1" x14ac:dyDescent="0.15">
      <c r="B14" s="84" t="s">
        <v>33</v>
      </c>
      <c r="C14" s="95"/>
      <c r="D14" s="86"/>
      <c r="E14" s="261"/>
      <c r="F14" s="95"/>
      <c r="G14" s="86"/>
      <c r="H14" s="266"/>
      <c r="I14" s="95"/>
      <c r="J14" s="86"/>
      <c r="K14" s="266"/>
      <c r="L14" s="95"/>
      <c r="M14" s="86"/>
      <c r="N14" s="266"/>
      <c r="O14" s="95"/>
      <c r="P14" s="86"/>
      <c r="Q14" s="21"/>
    </row>
    <row r="15" spans="1:17" ht="15" customHeight="1" thickBot="1" x14ac:dyDescent="0.2">
      <c r="B15" s="46" t="s">
        <v>19</v>
      </c>
      <c r="C15" s="75">
        <v>0</v>
      </c>
      <c r="D15" s="63"/>
      <c r="E15" s="260"/>
      <c r="F15" s="75">
        <v>0</v>
      </c>
      <c r="G15" s="63"/>
      <c r="H15" s="265"/>
      <c r="I15" s="75">
        <v>0</v>
      </c>
      <c r="J15" s="63"/>
      <c r="K15" s="265"/>
      <c r="L15" s="75">
        <v>0</v>
      </c>
      <c r="M15" s="63"/>
      <c r="N15" s="265"/>
      <c r="O15" s="75">
        <v>0</v>
      </c>
      <c r="P15" s="63"/>
      <c r="Q15" s="20"/>
    </row>
    <row r="16" spans="1:17" ht="15" customHeight="1" x14ac:dyDescent="0.15">
      <c r="B16" s="46" t="s">
        <v>28</v>
      </c>
      <c r="C16" s="69">
        <v>0</v>
      </c>
      <c r="D16" s="64"/>
      <c r="E16" s="260"/>
      <c r="F16" s="69">
        <v>0</v>
      </c>
      <c r="G16" s="64"/>
      <c r="H16" s="265"/>
      <c r="I16" s="69">
        <v>0</v>
      </c>
      <c r="J16" s="64"/>
      <c r="K16" s="265"/>
      <c r="L16" s="69">
        <v>0</v>
      </c>
      <c r="M16" s="64"/>
      <c r="N16" s="265"/>
      <c r="O16" s="69">
        <v>0</v>
      </c>
      <c r="P16" s="64"/>
      <c r="Q16" s="20"/>
    </row>
    <row r="17" spans="1:17" s="7" customFormat="1" ht="15" customHeight="1" x14ac:dyDescent="0.15">
      <c r="B17" s="84" t="s">
        <v>34</v>
      </c>
      <c r="C17" s="95"/>
      <c r="D17" s="86"/>
      <c r="E17" s="261"/>
      <c r="F17" s="95"/>
      <c r="G17" s="86"/>
      <c r="H17" s="266"/>
      <c r="I17" s="95"/>
      <c r="J17" s="86"/>
      <c r="K17" s="266"/>
      <c r="L17" s="95"/>
      <c r="M17" s="86"/>
      <c r="N17" s="266"/>
      <c r="O17" s="95"/>
      <c r="P17" s="86"/>
      <c r="Q17" s="21"/>
    </row>
    <row r="18" spans="1:17" ht="15" customHeight="1" thickBot="1" x14ac:dyDescent="0.2">
      <c r="B18" s="46" t="s">
        <v>20</v>
      </c>
      <c r="C18" s="75">
        <v>0</v>
      </c>
      <c r="D18" s="63"/>
      <c r="E18" s="260"/>
      <c r="F18" s="75">
        <v>0</v>
      </c>
      <c r="G18" s="63"/>
      <c r="H18" s="265"/>
      <c r="I18" s="75">
        <v>0</v>
      </c>
      <c r="J18" s="63"/>
      <c r="K18" s="265"/>
      <c r="L18" s="75">
        <v>0</v>
      </c>
      <c r="M18" s="63"/>
      <c r="N18" s="265"/>
      <c r="O18" s="75">
        <v>0</v>
      </c>
      <c r="P18" s="63"/>
      <c r="Q18" s="20"/>
    </row>
    <row r="19" spans="1:17" ht="15" customHeight="1" thickBot="1" x14ac:dyDescent="0.2">
      <c r="B19" s="46" t="s">
        <v>21</v>
      </c>
      <c r="C19" s="58">
        <v>0</v>
      </c>
      <c r="D19" s="65"/>
      <c r="E19" s="260"/>
      <c r="F19" s="58">
        <v>0</v>
      </c>
      <c r="G19" s="65">
        <v>0</v>
      </c>
      <c r="H19" s="265"/>
      <c r="I19" s="58">
        <v>0</v>
      </c>
      <c r="J19" s="65">
        <v>0</v>
      </c>
      <c r="K19" s="265"/>
      <c r="L19" s="58">
        <v>0</v>
      </c>
      <c r="M19" s="65">
        <v>0</v>
      </c>
      <c r="N19" s="265"/>
      <c r="O19" s="58">
        <v>0</v>
      </c>
      <c r="P19" s="65">
        <v>0</v>
      </c>
      <c r="Q19" s="20"/>
    </row>
    <row r="20" spans="1:17" ht="15" customHeight="1" thickBot="1" x14ac:dyDescent="0.2">
      <c r="B20" s="46" t="s">
        <v>131</v>
      </c>
      <c r="C20" s="66"/>
      <c r="D20" s="67">
        <f>'C. Endowment Investments'!E31</f>
        <v>491696.13290174998</v>
      </c>
      <c r="E20" s="260"/>
      <c r="F20" s="66"/>
      <c r="G20" s="67">
        <f>'C. Endowment Investments'!G31</f>
        <v>479867.50016606995</v>
      </c>
      <c r="H20" s="265"/>
      <c r="I20" s="66"/>
      <c r="J20" s="67">
        <f>'C. Endowment Investments'!I31</f>
        <v>490002.18317918648</v>
      </c>
      <c r="K20" s="265"/>
      <c r="L20" s="66"/>
      <c r="M20" s="67">
        <f>'C. Endowment Investments'!K31</f>
        <v>495028.81601033662</v>
      </c>
      <c r="N20" s="265"/>
      <c r="O20" s="66"/>
      <c r="P20" s="67">
        <f>'C. Endowment Investments'!M22</f>
        <v>500281.92340057122</v>
      </c>
      <c r="Q20" s="20"/>
    </row>
    <row r="21" spans="1:17" ht="15" customHeight="1" thickBot="1" x14ac:dyDescent="0.2">
      <c r="B21" s="46" t="s">
        <v>55</v>
      </c>
      <c r="C21" s="66"/>
      <c r="D21" s="65"/>
      <c r="E21" s="260"/>
      <c r="F21" s="66"/>
      <c r="G21" s="65"/>
      <c r="H21" s="265"/>
      <c r="I21" s="66"/>
      <c r="J21" s="65"/>
      <c r="K21" s="265"/>
      <c r="L21" s="66"/>
      <c r="M21" s="65"/>
      <c r="N21" s="265"/>
      <c r="O21" s="66"/>
      <c r="P21" s="65"/>
      <c r="Q21" s="20"/>
    </row>
    <row r="22" spans="1:17" ht="15" customHeight="1" thickBot="1" x14ac:dyDescent="0.2">
      <c r="B22" s="46" t="s">
        <v>22</v>
      </c>
      <c r="C22" s="58">
        <v>1.4999999999999999E-2</v>
      </c>
      <c r="D22" s="65"/>
      <c r="E22" s="260"/>
      <c r="F22" s="58">
        <v>1.4999999999999999E-2</v>
      </c>
      <c r="G22" s="65"/>
      <c r="H22" s="265"/>
      <c r="I22" s="58">
        <v>1.4999999999999999E-2</v>
      </c>
      <c r="J22" s="65"/>
      <c r="K22" s="265"/>
      <c r="L22" s="58">
        <v>1.4999999999999999E-2</v>
      </c>
      <c r="M22" s="65"/>
      <c r="N22" s="265"/>
      <c r="O22" s="58">
        <v>1.4999999999999999E-2</v>
      </c>
      <c r="P22" s="65"/>
      <c r="Q22" s="20"/>
    </row>
    <row r="23" spans="1:17" ht="15" customHeight="1" thickBot="1" x14ac:dyDescent="0.2">
      <c r="B23" s="46" t="s">
        <v>23</v>
      </c>
      <c r="C23" s="58">
        <v>1.4999999999999999E-2</v>
      </c>
      <c r="D23" s="65"/>
      <c r="E23" s="260"/>
      <c r="F23" s="58">
        <v>1.4999999999999999E-2</v>
      </c>
      <c r="G23" s="65"/>
      <c r="H23" s="265"/>
      <c r="I23" s="58">
        <v>1.4999999999999999E-2</v>
      </c>
      <c r="J23" s="65"/>
      <c r="K23" s="265"/>
      <c r="L23" s="58">
        <v>1.4999999999999999E-2</v>
      </c>
      <c r="M23" s="65"/>
      <c r="N23" s="265"/>
      <c r="O23" s="58">
        <v>0.01</v>
      </c>
      <c r="P23" s="65">
        <v>5</v>
      </c>
      <c r="Q23" s="20"/>
    </row>
    <row r="24" spans="1:17" ht="15" customHeight="1" thickBot="1" x14ac:dyDescent="0.2">
      <c r="B24" s="55" t="s">
        <v>125</v>
      </c>
      <c r="C24" s="66"/>
      <c r="D24" s="64"/>
      <c r="E24" s="260"/>
      <c r="F24" s="66"/>
      <c r="G24" s="64"/>
      <c r="H24" s="265"/>
      <c r="I24" s="66"/>
      <c r="J24" s="64"/>
      <c r="K24" s="265"/>
      <c r="L24" s="66"/>
      <c r="M24" s="64"/>
      <c r="N24" s="265"/>
      <c r="O24" s="66"/>
      <c r="P24" s="64"/>
      <c r="Q24" s="20"/>
    </row>
    <row r="25" spans="1:17" ht="15" customHeight="1" thickBot="1" x14ac:dyDescent="0.2">
      <c r="B25" s="46" t="s">
        <v>29</v>
      </c>
      <c r="C25" s="66"/>
      <c r="D25" s="68"/>
      <c r="E25" s="260"/>
      <c r="F25" s="66"/>
      <c r="G25" s="68"/>
      <c r="H25" s="265"/>
      <c r="I25" s="66"/>
      <c r="J25" s="68"/>
      <c r="K25" s="265"/>
      <c r="L25" s="66"/>
      <c r="M25" s="68"/>
      <c r="N25" s="265"/>
      <c r="O25" s="66"/>
      <c r="P25" s="68"/>
      <c r="Q25" s="20"/>
    </row>
    <row r="26" spans="1:17" ht="15" customHeight="1" x14ac:dyDescent="0.15">
      <c r="B26" s="46" t="s">
        <v>24</v>
      </c>
      <c r="C26" s="69">
        <v>0</v>
      </c>
      <c r="D26" s="64"/>
      <c r="E26" s="260"/>
      <c r="F26" s="69">
        <v>0</v>
      </c>
      <c r="G26" s="64"/>
      <c r="H26" s="265"/>
      <c r="I26" s="69">
        <v>0</v>
      </c>
      <c r="J26" s="64"/>
      <c r="K26" s="265"/>
      <c r="L26" s="69">
        <v>0</v>
      </c>
      <c r="M26" s="64"/>
      <c r="N26" s="265"/>
      <c r="O26" s="69">
        <v>0</v>
      </c>
      <c r="P26" s="64"/>
      <c r="Q26" s="20"/>
    </row>
    <row r="27" spans="1:17" s="7" customFormat="1" ht="15" customHeight="1" x14ac:dyDescent="0.15">
      <c r="B27" s="84" t="s">
        <v>35</v>
      </c>
      <c r="C27" s="95"/>
      <c r="D27" s="86"/>
      <c r="E27" s="261"/>
      <c r="F27" s="95"/>
      <c r="G27" s="86"/>
      <c r="H27" s="266"/>
      <c r="I27" s="95"/>
      <c r="J27" s="86"/>
      <c r="K27" s="266"/>
      <c r="L27" s="95"/>
      <c r="M27" s="86"/>
      <c r="N27" s="266"/>
      <c r="O27" s="95"/>
      <c r="P27" s="86"/>
      <c r="Q27" s="21"/>
    </row>
    <row r="28" spans="1:17" ht="15" customHeight="1" x14ac:dyDescent="0.15">
      <c r="B28" s="46" t="s">
        <v>25</v>
      </c>
      <c r="C28" s="96">
        <v>0</v>
      </c>
      <c r="D28" s="70"/>
      <c r="E28" s="260"/>
      <c r="F28" s="96">
        <v>0</v>
      </c>
      <c r="G28" s="70"/>
      <c r="H28" s="265"/>
      <c r="I28" s="96">
        <v>0</v>
      </c>
      <c r="J28" s="70"/>
      <c r="K28" s="265"/>
      <c r="L28" s="96">
        <v>0</v>
      </c>
      <c r="M28" s="70"/>
      <c r="N28" s="265"/>
      <c r="O28" s="96">
        <v>0</v>
      </c>
      <c r="P28" s="70"/>
      <c r="Q28" s="20"/>
    </row>
    <row r="29" spans="1:17" ht="6" customHeight="1" x14ac:dyDescent="0.15">
      <c r="B29" s="41"/>
      <c r="C29" s="71"/>
      <c r="D29" s="72"/>
      <c r="E29" s="260"/>
      <c r="F29" s="71"/>
      <c r="G29" s="72"/>
      <c r="H29" s="265"/>
      <c r="I29" s="71"/>
      <c r="J29" s="72"/>
      <c r="K29" s="265"/>
      <c r="L29" s="71"/>
      <c r="M29" s="72"/>
      <c r="N29" s="265"/>
      <c r="O29" s="71"/>
      <c r="P29" s="72"/>
      <c r="Q29" s="14"/>
    </row>
    <row r="30" spans="1:17" ht="15" customHeight="1" x14ac:dyDescent="0.2">
      <c r="A30" s="33" t="s">
        <v>38</v>
      </c>
      <c r="C30" s="73"/>
      <c r="D30" s="74"/>
      <c r="E30" s="260"/>
      <c r="F30" s="73"/>
      <c r="G30" s="74"/>
      <c r="H30" s="265"/>
      <c r="I30" s="73"/>
      <c r="J30" s="74"/>
      <c r="K30" s="265"/>
      <c r="L30" s="73"/>
      <c r="M30" s="74"/>
      <c r="N30" s="265"/>
      <c r="O30" s="73"/>
      <c r="P30" s="74"/>
      <c r="Q30" s="14"/>
    </row>
    <row r="31" spans="1:17" ht="6" customHeight="1" x14ac:dyDescent="0.15">
      <c r="A31" s="4"/>
      <c r="C31" s="73"/>
      <c r="D31" s="74"/>
      <c r="E31" s="260"/>
      <c r="F31" s="73"/>
      <c r="G31" s="74"/>
      <c r="H31" s="265"/>
      <c r="I31" s="73"/>
      <c r="J31" s="74"/>
      <c r="K31" s="265"/>
      <c r="L31" s="73"/>
      <c r="M31" s="74"/>
      <c r="N31" s="265"/>
      <c r="O31" s="73"/>
      <c r="P31" s="74"/>
      <c r="Q31" s="14"/>
    </row>
    <row r="32" spans="1:17" ht="6" customHeight="1" x14ac:dyDescent="0.15">
      <c r="A32" s="4"/>
      <c r="C32" s="73"/>
      <c r="D32" s="74"/>
      <c r="E32" s="260"/>
      <c r="F32" s="73"/>
      <c r="G32" s="74"/>
      <c r="H32" s="265"/>
      <c r="I32" s="73"/>
      <c r="J32" s="74"/>
      <c r="K32" s="265"/>
      <c r="L32" s="73"/>
      <c r="M32" s="74"/>
      <c r="N32" s="265"/>
      <c r="O32" s="73"/>
      <c r="P32" s="74"/>
      <c r="Q32" s="14"/>
    </row>
    <row r="33" spans="1:17" ht="15" customHeight="1" thickBot="1" x14ac:dyDescent="0.2">
      <c r="B33" s="46" t="s">
        <v>26</v>
      </c>
      <c r="C33" s="75">
        <v>0.03</v>
      </c>
      <c r="D33" s="63"/>
      <c r="E33" s="260"/>
      <c r="F33" s="75">
        <v>0.03</v>
      </c>
      <c r="G33" s="63"/>
      <c r="H33" s="265"/>
      <c r="I33" s="75">
        <v>0.03</v>
      </c>
      <c r="J33" s="63"/>
      <c r="K33" s="265"/>
      <c r="L33" s="75">
        <v>0.03</v>
      </c>
      <c r="M33" s="63"/>
      <c r="N33" s="265"/>
      <c r="O33" s="75">
        <v>0.03</v>
      </c>
      <c r="P33" s="63"/>
      <c r="Q33" s="20"/>
    </row>
    <row r="34" spans="1:17" ht="15" customHeight="1" thickBot="1" x14ac:dyDescent="0.2">
      <c r="B34" s="46" t="s">
        <v>27</v>
      </c>
      <c r="C34" s="58">
        <v>2.5000000000000001E-2</v>
      </c>
      <c r="D34" s="65"/>
      <c r="E34" s="260"/>
      <c r="F34" s="58">
        <v>2.5000000000000001E-2</v>
      </c>
      <c r="G34" s="65"/>
      <c r="H34" s="265"/>
      <c r="I34" s="58">
        <v>2.5000000000000001E-2</v>
      </c>
      <c r="J34" s="65"/>
      <c r="K34" s="265"/>
      <c r="L34" s="58">
        <v>2.5000000000000001E-2</v>
      </c>
      <c r="M34" s="65"/>
      <c r="N34" s="265"/>
      <c r="O34" s="58">
        <v>2.5000000000000001E-2</v>
      </c>
      <c r="P34" s="65"/>
      <c r="Q34" s="20"/>
    </row>
    <row r="35" spans="1:17" ht="6" customHeight="1" x14ac:dyDescent="0.15">
      <c r="C35" s="76"/>
      <c r="D35" s="77"/>
      <c r="E35" s="262"/>
      <c r="F35" s="78"/>
      <c r="G35" s="77"/>
      <c r="H35" s="267"/>
      <c r="I35" s="78"/>
      <c r="J35" s="77"/>
      <c r="K35" s="267"/>
      <c r="L35" s="78"/>
      <c r="M35" s="77"/>
      <c r="N35" s="267"/>
      <c r="O35" s="78"/>
      <c r="P35" s="77"/>
    </row>
    <row r="36" spans="1:17" s="7" customFormat="1" ht="15" customHeight="1" thickBot="1" x14ac:dyDescent="0.25">
      <c r="A36" s="33" t="s">
        <v>69</v>
      </c>
      <c r="C36" s="62"/>
      <c r="D36" s="56"/>
      <c r="E36" s="263"/>
      <c r="F36" s="79"/>
      <c r="G36" s="56"/>
      <c r="H36" s="268"/>
      <c r="I36" s="79"/>
      <c r="J36" s="56"/>
      <c r="K36" s="268"/>
      <c r="L36" s="79"/>
      <c r="M36" s="56"/>
      <c r="N36" s="268"/>
      <c r="O36" s="79"/>
      <c r="P36" s="56"/>
    </row>
    <row r="37" spans="1:17" ht="15" customHeight="1" thickBot="1" x14ac:dyDescent="0.2">
      <c r="B37" s="46" t="s">
        <v>64</v>
      </c>
      <c r="C37" s="76"/>
      <c r="D37" s="65">
        <v>0</v>
      </c>
      <c r="E37" s="264"/>
      <c r="F37" s="80"/>
      <c r="G37" s="65">
        <v>0</v>
      </c>
      <c r="H37" s="269"/>
      <c r="I37" s="80"/>
      <c r="J37" s="65">
        <v>0</v>
      </c>
      <c r="K37" s="269"/>
      <c r="L37" s="80"/>
      <c r="M37" s="65">
        <v>0</v>
      </c>
      <c r="N37" s="269"/>
      <c r="O37" s="80"/>
      <c r="P37" s="65">
        <v>0</v>
      </c>
    </row>
    <row r="38" spans="1:17" ht="15" customHeight="1" thickBot="1" x14ac:dyDescent="0.2">
      <c r="B38" s="46" t="s">
        <v>47</v>
      </c>
      <c r="C38" s="76"/>
      <c r="D38" s="65">
        <v>0</v>
      </c>
      <c r="E38" s="264"/>
      <c r="F38" s="80"/>
      <c r="G38" s="65">
        <v>0</v>
      </c>
      <c r="H38" s="269"/>
      <c r="I38" s="80"/>
      <c r="J38" s="65">
        <v>0</v>
      </c>
      <c r="K38" s="269"/>
      <c r="L38" s="80"/>
      <c r="M38" s="65">
        <v>0</v>
      </c>
      <c r="N38" s="269"/>
      <c r="O38" s="80"/>
      <c r="P38" s="65">
        <v>0</v>
      </c>
    </row>
  </sheetData>
  <mergeCells count="6">
    <mergeCell ref="A3:P3"/>
    <mergeCell ref="C5:D5"/>
    <mergeCell ref="F5:G5"/>
    <mergeCell ref="I5:J5"/>
    <mergeCell ref="L5:M5"/>
    <mergeCell ref="O5:P5"/>
  </mergeCells>
  <phoneticPr fontId="2" type="noConversion"/>
  <printOptions horizontalCentered="1" verticalCentered="1" gridLines="1"/>
  <pageMargins left="0.45" right="0.45" top="1" bottom="1" header="0.5" footer="0.5"/>
  <pageSetup scale="85" orientation="landscape"/>
  <headerFooter alignWithMargins="0">
    <oddFooter>&amp;C&amp;8&amp;D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2:P53"/>
  <sheetViews>
    <sheetView zoomScale="87" zoomScaleNormal="87" workbookViewId="0">
      <selection activeCell="E11" sqref="E11"/>
    </sheetView>
  </sheetViews>
  <sheetFormatPr baseColWidth="10" defaultColWidth="9.1640625" defaultRowHeight="18" x14ac:dyDescent="0.2"/>
  <cols>
    <col min="1" max="1" width="2" style="220" customWidth="1"/>
    <col min="2" max="2" width="34" style="220" customWidth="1"/>
    <col min="3" max="3" width="16.5" style="220" customWidth="1"/>
    <col min="4" max="4" width="11.5" style="220" customWidth="1"/>
    <col min="5" max="5" width="17.1640625" style="220" customWidth="1"/>
    <col min="6" max="6" width="8.83203125" style="220" customWidth="1"/>
    <col min="7" max="7" width="18.83203125" style="220" customWidth="1"/>
    <col min="8" max="8" width="7.6640625" style="220" customWidth="1"/>
    <col min="9" max="9" width="15.1640625" style="220" customWidth="1"/>
    <col min="10" max="10" width="7.6640625" style="220" customWidth="1"/>
    <col min="11" max="11" width="19.1640625" style="220" customWidth="1"/>
    <col min="12" max="12" width="7.6640625" style="220" customWidth="1"/>
    <col min="13" max="13" width="4.6640625" style="220" customWidth="1"/>
    <col min="14" max="14" width="9.1640625" style="220"/>
    <col min="15" max="15" width="5" style="220" customWidth="1"/>
    <col min="16" max="16" width="11.5" style="220" customWidth="1"/>
    <col min="17" max="16384" width="9.1640625" style="220"/>
  </cols>
  <sheetData>
    <row r="2" spans="1:16" ht="16" customHeight="1" x14ac:dyDescent="0.2">
      <c r="A2" s="113" t="s">
        <v>46</v>
      </c>
      <c r="F2" s="43" t="str">
        <f>Setup!B2</f>
        <v xml:space="preserve">Five Year Operating and Membership Plan </v>
      </c>
    </row>
    <row r="3" spans="1:16" ht="20" customHeight="1" x14ac:dyDescent="0.3">
      <c r="A3" s="352" t="str">
        <f>Setup!B6&amp;" Council Five Year Operating Plan"</f>
        <v>XXX Council Council Five Year Operating Plan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1:16" ht="8" customHeight="1" x14ac:dyDescent="0.2"/>
    <row r="5" spans="1:16" ht="28" customHeight="1" x14ac:dyDescent="0.2">
      <c r="A5" s="221" t="s">
        <v>39</v>
      </c>
      <c r="C5" s="270">
        <f>Setup!$B4+1</f>
        <v>2021</v>
      </c>
      <c r="D5" s="222" t="s">
        <v>32</v>
      </c>
      <c r="E5" s="270">
        <f>Setup!$B4+2</f>
        <v>2022</v>
      </c>
      <c r="F5" s="222" t="s">
        <v>32</v>
      </c>
      <c r="G5" s="270">
        <f>Setup!$B4+3</f>
        <v>2023</v>
      </c>
      <c r="H5" s="222" t="s">
        <v>32</v>
      </c>
      <c r="I5" s="270">
        <f>Setup!$B4+4</f>
        <v>2024</v>
      </c>
      <c r="J5" s="222" t="s">
        <v>32</v>
      </c>
      <c r="K5" s="270">
        <f>Setup!$B4+5</f>
        <v>2025</v>
      </c>
      <c r="L5" s="222" t="s">
        <v>32</v>
      </c>
      <c r="N5" s="223"/>
      <c r="P5" s="223"/>
    </row>
    <row r="6" spans="1:16" ht="7" customHeight="1" x14ac:dyDescent="0.2">
      <c r="C6" s="224"/>
      <c r="D6" s="222"/>
      <c r="E6" s="224"/>
      <c r="F6" s="222"/>
      <c r="G6" s="224"/>
      <c r="H6" s="222"/>
      <c r="I6" s="224"/>
      <c r="J6" s="222"/>
      <c r="K6" s="224"/>
      <c r="L6" s="222"/>
    </row>
    <row r="7" spans="1:16" ht="6" customHeight="1" x14ac:dyDescent="0.2">
      <c r="A7" s="221"/>
      <c r="C7" s="224"/>
      <c r="D7" s="222"/>
      <c r="E7" s="224"/>
      <c r="F7" s="222"/>
      <c r="G7" s="224"/>
      <c r="H7" s="222"/>
      <c r="I7" s="224"/>
      <c r="J7" s="222"/>
      <c r="K7" s="224"/>
      <c r="L7" s="222"/>
    </row>
    <row r="8" spans="1:16" ht="15" customHeight="1" thickBot="1" x14ac:dyDescent="0.25">
      <c r="B8" s="220" t="s">
        <v>15</v>
      </c>
      <c r="C8" s="225">
        <f>'A. History Input &amp; Output'!O8*(1+'D. Growth Plan'!C8)+'D. Growth Plan'!D8</f>
        <v>261002</v>
      </c>
      <c r="D8" s="240">
        <f t="shared" ref="D8:D28" si="0">C8/C$29</f>
        <v>0.18932013303666126</v>
      </c>
      <c r="E8" s="225">
        <f>'E. Output'!C8*(1+'D. Growth Plan'!F8)+'D. Growth Plan'!G8</f>
        <v>268832.06</v>
      </c>
      <c r="F8" s="240">
        <f t="shared" ref="F8:F28" si="1">E8/E$29</f>
        <v>0.19522316045921775</v>
      </c>
      <c r="G8" s="225">
        <f>'E. Output'!E8*(1+'D. Growth Plan'!I8)+'D. Growth Plan'!J8</f>
        <v>276897.02179999999</v>
      </c>
      <c r="H8" s="240">
        <f t="shared" ref="H8:H28" si="2">G8/G$29</f>
        <v>0.19810507377009143</v>
      </c>
      <c r="I8" s="225">
        <f>'E. Output'!G8*(1+'D. Growth Plan'!L8)+'D. Growth Plan'!M8</f>
        <v>285203.93245399999</v>
      </c>
      <c r="J8" s="240">
        <f t="shared" ref="J8:J28" si="3">I8/I$29</f>
        <v>0.20175729831183786</v>
      </c>
      <c r="K8" s="225">
        <f>'E. Output'!I8*(1+'D. Growth Plan'!O8)+'D. Growth Plan'!P8</f>
        <v>293760.05042762001</v>
      </c>
      <c r="L8" s="244">
        <f t="shared" ref="L8:L28" si="4">K8/K$29</f>
        <v>0.20545494019868796</v>
      </c>
      <c r="N8" s="226"/>
    </row>
    <row r="9" spans="1:16" ht="15" customHeight="1" thickBot="1" x14ac:dyDescent="0.25">
      <c r="B9" s="220" t="s">
        <v>13</v>
      </c>
      <c r="C9" s="225">
        <f>'A. History Input &amp; Output'!O9*(1+'D. Growth Plan'!C9)+'D. Growth Plan'!D9</f>
        <v>0</v>
      </c>
      <c r="D9" s="240">
        <f t="shared" si="0"/>
        <v>0</v>
      </c>
      <c r="E9" s="225">
        <f>'E. Output'!C9*(1+'D. Growth Plan'!F9)+'D. Growth Plan'!G9</f>
        <v>0</v>
      </c>
      <c r="F9" s="240">
        <f t="shared" si="1"/>
        <v>0</v>
      </c>
      <c r="G9" s="225">
        <f>'E. Output'!E9*(1+'D. Growth Plan'!I9)+'D. Growth Plan'!J9</f>
        <v>0</v>
      </c>
      <c r="H9" s="240">
        <f t="shared" si="2"/>
        <v>0</v>
      </c>
      <c r="I9" s="225">
        <f>'E. Output'!G9*(1+'D. Growth Plan'!L9)+'D. Growth Plan'!M9</f>
        <v>0</v>
      </c>
      <c r="J9" s="240">
        <f t="shared" si="3"/>
        <v>0</v>
      </c>
      <c r="K9" s="225">
        <f>'E. Output'!I9*(1+'D. Growth Plan'!O9)+'D. Growth Plan'!P9</f>
        <v>0</v>
      </c>
      <c r="L9" s="244">
        <f t="shared" si="4"/>
        <v>0</v>
      </c>
      <c r="N9" s="226"/>
    </row>
    <row r="10" spans="1:16" ht="15" customHeight="1" thickBot="1" x14ac:dyDescent="0.25">
      <c r="B10" s="220" t="s">
        <v>16</v>
      </c>
      <c r="C10" s="225">
        <f>'A. History Input &amp; Output'!O10*(1+'D. Growth Plan'!C10)+'D. Growth Plan'!D10</f>
        <v>47277</v>
      </c>
      <c r="D10" s="240">
        <f t="shared" si="0"/>
        <v>3.4292794421399965E-2</v>
      </c>
      <c r="E10" s="225">
        <f>'E. Output'!C10*(1+'D. Growth Plan'!F10)+'D. Growth Plan'!G10</f>
        <v>48695.31</v>
      </c>
      <c r="F10" s="240">
        <f t="shared" si="1"/>
        <v>3.5362048402044571E-2</v>
      </c>
      <c r="G10" s="225">
        <f>'E. Output'!E10*(1+'D. Growth Plan'!I10)+'D. Growth Plan'!J10</f>
        <v>50156.169300000001</v>
      </c>
      <c r="H10" s="240">
        <f t="shared" si="2"/>
        <v>3.5884068216445138E-2</v>
      </c>
      <c r="I10" s="225">
        <f>'E. Output'!G10*(1+'D. Growth Plan'!L10)+'D. Growth Plan'!M10</f>
        <v>51660.854379000004</v>
      </c>
      <c r="J10" s="240">
        <f t="shared" si="3"/>
        <v>3.6545619544251617E-2</v>
      </c>
      <c r="K10" s="252">
        <f>'E. Output'!I10*(1+'D. Growth Plan'!O10)+'D. Growth Plan'!P10</f>
        <v>53210.680010370008</v>
      </c>
      <c r="L10" s="244">
        <f t="shared" si="4"/>
        <v>3.7215397612943089E-2</v>
      </c>
      <c r="N10" s="226"/>
    </row>
    <row r="11" spans="1:16" ht="15" customHeight="1" thickBot="1" x14ac:dyDescent="0.25">
      <c r="B11" s="220" t="s">
        <v>17</v>
      </c>
      <c r="C11" s="225">
        <f>'A. History Input &amp; Output'!O11*(1+'D. Growth Plan'!C11)+'D. Growth Plan'!D11</f>
        <v>0</v>
      </c>
      <c r="D11" s="240">
        <f t="shared" si="0"/>
        <v>0</v>
      </c>
      <c r="E11" s="225">
        <f>'E. Output'!C11*(1+'D. Growth Plan'!F11)+'D. Growth Plan'!G11</f>
        <v>0</v>
      </c>
      <c r="F11" s="240">
        <f t="shared" si="1"/>
        <v>0</v>
      </c>
      <c r="G11" s="225">
        <f>'E. Output'!E11*(1+'D. Growth Plan'!I11)+'D. Growth Plan'!J11</f>
        <v>0</v>
      </c>
      <c r="H11" s="240">
        <f t="shared" si="2"/>
        <v>0</v>
      </c>
      <c r="I11" s="225">
        <f>'E. Output'!G11*(1+'D. Growth Plan'!L11)+'D. Growth Plan'!M11</f>
        <v>0</v>
      </c>
      <c r="J11" s="240">
        <f t="shared" si="3"/>
        <v>0</v>
      </c>
      <c r="K11" s="225">
        <f>'E. Output'!I11*(1+'D. Growth Plan'!O11)+'D. Growth Plan'!P11</f>
        <v>0</v>
      </c>
      <c r="L11" s="244">
        <f t="shared" si="4"/>
        <v>0</v>
      </c>
      <c r="N11" s="226"/>
    </row>
    <row r="12" spans="1:16" ht="15" customHeight="1" thickBot="1" x14ac:dyDescent="0.25">
      <c r="B12" s="220" t="s">
        <v>14</v>
      </c>
      <c r="C12" s="225">
        <f>'A. History Input &amp; Output'!O12*(1+'D. Growth Plan'!C12)+'D. Growth Plan'!D12</f>
        <v>183000</v>
      </c>
      <c r="D12" s="240">
        <f t="shared" si="0"/>
        <v>0.13274068530397856</v>
      </c>
      <c r="E12" s="225">
        <f>'E. Output'!C12*(1+'D. Growth Plan'!F12)+'D. Growth Plan'!G12</f>
        <v>183000</v>
      </c>
      <c r="F12" s="240">
        <f t="shared" si="1"/>
        <v>0.13289277463423391</v>
      </c>
      <c r="G12" s="225">
        <f>'E. Output'!E12*(1+'D. Growth Plan'!I12)+'D. Growth Plan'!J12</f>
        <v>183000</v>
      </c>
      <c r="H12" s="240">
        <f t="shared" si="2"/>
        <v>0.13092675487897476</v>
      </c>
      <c r="I12" s="225">
        <f>'E. Output'!G12*(1+'D. Growth Plan'!L12)+'D. Growth Plan'!M12</f>
        <v>183000</v>
      </c>
      <c r="J12" s="240">
        <f t="shared" si="3"/>
        <v>0.12945679000068255</v>
      </c>
      <c r="K12" s="225">
        <f>'E. Output'!I12*(1+'D. Growth Plan'!O12)+'D. Growth Plan'!P12</f>
        <v>183000</v>
      </c>
      <c r="L12" s="244">
        <f t="shared" si="4"/>
        <v>0.12798967729488386</v>
      </c>
      <c r="N12" s="226"/>
    </row>
    <row r="13" spans="1:16" ht="15" customHeight="1" x14ac:dyDescent="0.2">
      <c r="B13" s="220" t="s">
        <v>18</v>
      </c>
      <c r="C13" s="227">
        <f>'A. History Input &amp; Output'!O13*(1+'D. Growth Plan'!C13)+'D. Growth Plan'!D13</f>
        <v>76000</v>
      </c>
      <c r="D13" s="240">
        <f t="shared" si="0"/>
        <v>5.5127279142635897E-2</v>
      </c>
      <c r="E13" s="227">
        <f>'E. Output'!C13*(1+'D. Growth Plan'!F13)+'D. Growth Plan'!G13</f>
        <v>76000</v>
      </c>
      <c r="F13" s="240">
        <f t="shared" si="1"/>
        <v>5.5190441924599876E-2</v>
      </c>
      <c r="G13" s="227">
        <f>'E. Output'!E13*(1+'D. Growth Plan'!I13)+'D. Growth Plan'!J13</f>
        <v>76000</v>
      </c>
      <c r="H13" s="240">
        <f t="shared" si="2"/>
        <v>5.4373952845913023E-2</v>
      </c>
      <c r="I13" s="227">
        <f>'E. Output'!G13*(1+'D. Growth Plan'!L13)+'D. Growth Plan'!M13</f>
        <v>76000</v>
      </c>
      <c r="J13" s="240">
        <f t="shared" si="3"/>
        <v>5.3763475628698772E-2</v>
      </c>
      <c r="K13" s="227">
        <f>'E. Output'!I13*(1+'D. Growth Plan'!O13)+'D. Growth Plan'!P13</f>
        <v>76000</v>
      </c>
      <c r="L13" s="244">
        <f t="shared" si="4"/>
        <v>5.3154182920279638E-2</v>
      </c>
      <c r="N13" s="226"/>
    </row>
    <row r="14" spans="1:16" ht="15" customHeight="1" x14ac:dyDescent="0.2">
      <c r="B14" s="228" t="s">
        <v>33</v>
      </c>
      <c r="C14" s="229">
        <f>SUM(C8:C13)</f>
        <v>567279</v>
      </c>
      <c r="D14" s="241">
        <f t="shared" si="0"/>
        <v>0.41148089190467568</v>
      </c>
      <c r="E14" s="229">
        <f>SUM(E8:E13)</f>
        <v>576527.37</v>
      </c>
      <c r="F14" s="241">
        <f t="shared" si="1"/>
        <v>0.41866842542009608</v>
      </c>
      <c r="G14" s="229">
        <f>SUM(G8:G13)</f>
        <v>586053.19109999994</v>
      </c>
      <c r="H14" s="241">
        <f t="shared" si="2"/>
        <v>0.4192898497114243</v>
      </c>
      <c r="I14" s="229">
        <f>SUM(I8:I13)</f>
        <v>595864.78683300002</v>
      </c>
      <c r="J14" s="241">
        <f t="shared" si="3"/>
        <v>0.42152318348547085</v>
      </c>
      <c r="K14" s="229">
        <f>SUM(K8:K13)</f>
        <v>605970.73043799005</v>
      </c>
      <c r="L14" s="245">
        <f t="shared" si="4"/>
        <v>0.4238141980267946</v>
      </c>
      <c r="N14" s="226"/>
    </row>
    <row r="15" spans="1:16" ht="15" customHeight="1" thickBot="1" x14ac:dyDescent="0.25">
      <c r="B15" s="220" t="s">
        <v>19</v>
      </c>
      <c r="C15" s="225">
        <f>'A. History Input &amp; Output'!O15*(1+'D. Growth Plan'!C15)+'D. Growth Plan'!D15</f>
        <v>12000</v>
      </c>
      <c r="D15" s="240">
        <f t="shared" si="0"/>
        <v>8.7043072330477735E-3</v>
      </c>
      <c r="E15" s="225">
        <f>'E. Output'!C15*(1+'D. Growth Plan'!F15)+'D. Growth Plan'!G15</f>
        <v>12000</v>
      </c>
      <c r="F15" s="240">
        <f t="shared" si="1"/>
        <v>8.71428030388419E-3</v>
      </c>
      <c r="G15" s="225">
        <f>'E. Output'!E15*(1+'D. Growth Plan'!I15)+'D. Growth Plan'!J15</f>
        <v>12000</v>
      </c>
      <c r="H15" s="240">
        <f t="shared" si="2"/>
        <v>8.5853609756704769E-3</v>
      </c>
      <c r="I15" s="225">
        <f>'E. Output'!G15*(1+'D. Growth Plan'!L15)+'D. Growth Plan'!M15</f>
        <v>12000</v>
      </c>
      <c r="J15" s="240">
        <f t="shared" si="3"/>
        <v>8.4889698361103327E-3</v>
      </c>
      <c r="K15" s="225">
        <f>'E. Output'!I15*(1+'D. Growth Plan'!O15)+'D. Growth Plan'!P15</f>
        <v>12000</v>
      </c>
      <c r="L15" s="244">
        <f t="shared" si="4"/>
        <v>8.3927657242546805E-3</v>
      </c>
      <c r="N15" s="226"/>
    </row>
    <row r="16" spans="1:16" ht="15" customHeight="1" x14ac:dyDescent="0.2">
      <c r="B16" s="220" t="s">
        <v>28</v>
      </c>
      <c r="C16" s="227">
        <f>'A. History Input &amp; Output'!O16*(1+'D. Growth Plan'!C16)+'D. Growth Plan'!D16</f>
        <v>20400</v>
      </c>
      <c r="D16" s="240">
        <f t="shared" si="0"/>
        <v>1.4797322296181215E-2</v>
      </c>
      <c r="E16" s="227">
        <f>'E. Output'!C16*(1+'D. Growth Plan'!F16)+'D. Growth Plan'!G16</f>
        <v>20400</v>
      </c>
      <c r="F16" s="240">
        <f t="shared" si="1"/>
        <v>1.4814276516603124E-2</v>
      </c>
      <c r="G16" s="227">
        <f>'E. Output'!E16*(1+'D. Growth Plan'!I16)+'D. Growth Plan'!J16</f>
        <v>20400</v>
      </c>
      <c r="H16" s="240">
        <f t="shared" si="2"/>
        <v>1.4595113658639811E-2</v>
      </c>
      <c r="I16" s="227">
        <f>'E. Output'!G16*(1+'D. Growth Plan'!L16)+'D. Growth Plan'!M16</f>
        <v>20400</v>
      </c>
      <c r="J16" s="240">
        <f t="shared" si="3"/>
        <v>1.4431248721387565E-2</v>
      </c>
      <c r="K16" s="227">
        <f>'E. Output'!I16*(1+'D. Growth Plan'!O16)+'D. Growth Plan'!P16</f>
        <v>20400</v>
      </c>
      <c r="L16" s="244">
        <f t="shared" si="4"/>
        <v>1.4267701731232955E-2</v>
      </c>
      <c r="N16" s="226"/>
    </row>
    <row r="17" spans="1:14" s="230" customFormat="1" ht="15" customHeight="1" x14ac:dyDescent="0.2">
      <c r="B17" s="228" t="s">
        <v>34</v>
      </c>
      <c r="C17" s="229">
        <f>SUM(C15:C16)</f>
        <v>32400</v>
      </c>
      <c r="D17" s="241">
        <f t="shared" si="0"/>
        <v>2.350162952922899E-2</v>
      </c>
      <c r="E17" s="229">
        <f>SUM(E15:E16)</f>
        <v>32400</v>
      </c>
      <c r="F17" s="241">
        <f t="shared" si="1"/>
        <v>2.3528556820487316E-2</v>
      </c>
      <c r="G17" s="229">
        <f>SUM(G15:G16)</f>
        <v>32400</v>
      </c>
      <c r="H17" s="241">
        <f t="shared" si="2"/>
        <v>2.3180474634310288E-2</v>
      </c>
      <c r="I17" s="229">
        <f>SUM(I15:I16)</f>
        <v>32400</v>
      </c>
      <c r="J17" s="241">
        <f t="shared" si="3"/>
        <v>2.2920218557497898E-2</v>
      </c>
      <c r="K17" s="229">
        <f>SUM(K15:K16)</f>
        <v>32400</v>
      </c>
      <c r="L17" s="245">
        <f t="shared" si="4"/>
        <v>2.2660467455487637E-2</v>
      </c>
      <c r="N17" s="226"/>
    </row>
    <row r="18" spans="1:14" ht="15" customHeight="1" thickBot="1" x14ac:dyDescent="0.25">
      <c r="B18" s="220" t="s">
        <v>20</v>
      </c>
      <c r="C18" s="225">
        <f>'A. History Input &amp; Output'!O18*(1+'D. Growth Plan'!C18)+'D. Growth Plan'!D18</f>
        <v>4320</v>
      </c>
      <c r="D18" s="240">
        <f t="shared" si="0"/>
        <v>3.1335506038971984E-3</v>
      </c>
      <c r="E18" s="225">
        <f>'E. Output'!C18*(1+'D. Growth Plan'!F18)+'D. Growth Plan'!G18</f>
        <v>4320</v>
      </c>
      <c r="F18" s="240">
        <f t="shared" si="1"/>
        <v>3.1371409093983085E-3</v>
      </c>
      <c r="G18" s="225">
        <f>'E. Output'!E18*(1+'D. Growth Plan'!I18)+'D. Growth Plan'!J18</f>
        <v>4320</v>
      </c>
      <c r="H18" s="240">
        <f t="shared" si="2"/>
        <v>3.0907299512413717E-3</v>
      </c>
      <c r="I18" s="225">
        <f>'E. Output'!G18*(1+'D. Growth Plan'!L18)+'D. Growth Plan'!M18</f>
        <v>4320</v>
      </c>
      <c r="J18" s="240">
        <f t="shared" si="3"/>
        <v>3.0560291409997193E-3</v>
      </c>
      <c r="K18" s="225">
        <f>'E. Output'!I18*(1+'D. Growth Plan'!O18)+'D. Growth Plan'!P18</f>
        <v>4320</v>
      </c>
      <c r="L18" s="244">
        <f t="shared" si="4"/>
        <v>3.0213956607316847E-3</v>
      </c>
      <c r="N18" s="226"/>
    </row>
    <row r="19" spans="1:14" ht="15" customHeight="1" thickBot="1" x14ac:dyDescent="0.25">
      <c r="B19" s="220" t="s">
        <v>21</v>
      </c>
      <c r="C19" s="225">
        <f>'A. History Input &amp; Output'!O19*(1+'D. Growth Plan'!C19)+'D. Growth Plan'!D19</f>
        <v>215500</v>
      </c>
      <c r="D19" s="240">
        <f t="shared" si="0"/>
        <v>0.15631485072681628</v>
      </c>
      <c r="E19" s="225">
        <f>'E. Output'!C19*(1+'D. Growth Plan'!F19)+'D. Growth Plan'!G19</f>
        <v>215500</v>
      </c>
      <c r="F19" s="240">
        <f t="shared" si="1"/>
        <v>0.15649395045725359</v>
      </c>
      <c r="G19" s="225">
        <f>'E. Output'!E19*(1+'D. Growth Plan'!I19)+'D. Growth Plan'!J19</f>
        <v>215500</v>
      </c>
      <c r="H19" s="240">
        <f t="shared" si="2"/>
        <v>0.15417877418808232</v>
      </c>
      <c r="I19" s="225">
        <f>'E. Output'!G19*(1+'D. Growth Plan'!L19)+'D. Growth Plan'!M19</f>
        <v>215500</v>
      </c>
      <c r="J19" s="240">
        <f t="shared" si="3"/>
        <v>0.15244774997348137</v>
      </c>
      <c r="K19" s="225">
        <f>'E. Output'!I19*(1+'D. Growth Plan'!O19)+'D. Growth Plan'!P19</f>
        <v>215500</v>
      </c>
      <c r="L19" s="244">
        <f t="shared" si="4"/>
        <v>0.15072008446474031</v>
      </c>
      <c r="N19" s="226"/>
    </row>
    <row r="20" spans="1:14" ht="15" customHeight="1" thickBot="1" x14ac:dyDescent="0.25">
      <c r="B20" s="220" t="s">
        <v>48</v>
      </c>
      <c r="C20" s="225">
        <f>'D. Growth Plan'!D20</f>
        <v>491696.13290174998</v>
      </c>
      <c r="D20" s="240">
        <f t="shared" si="0"/>
        <v>0.35665618383986014</v>
      </c>
      <c r="E20" s="225">
        <f>'D. Growth Plan'!G20</f>
        <v>479867.50016606995</v>
      </c>
      <c r="F20" s="240">
        <f t="shared" si="1"/>
        <v>0.34847499209761057</v>
      </c>
      <c r="G20" s="225">
        <f>'D. Growth Plan'!J20</f>
        <v>490002.18317918648</v>
      </c>
      <c r="H20" s="240">
        <f t="shared" si="2"/>
        <v>0.35057046845499368</v>
      </c>
      <c r="I20" s="225">
        <f>'D. Growth Plan'!M20</f>
        <v>495028.81601033662</v>
      </c>
      <c r="J20" s="240">
        <f t="shared" si="3"/>
        <v>0.35019039059309659</v>
      </c>
      <c r="K20" s="225">
        <f>'D. Growth Plan'!P20</f>
        <v>500281.92340057122</v>
      </c>
      <c r="L20" s="244">
        <f t="shared" si="4"/>
        <v>0.34989574826504327</v>
      </c>
      <c r="N20" s="226"/>
    </row>
    <row r="21" spans="1:14" ht="15" customHeight="1" thickBot="1" x14ac:dyDescent="0.25">
      <c r="B21" s="220" t="s">
        <v>56</v>
      </c>
      <c r="C21" s="225">
        <f>'D. Growth Plan'!D21</f>
        <v>0</v>
      </c>
      <c r="D21" s="240">
        <f t="shared" si="0"/>
        <v>0</v>
      </c>
      <c r="E21" s="225">
        <f>'D. Growth Plan'!G21</f>
        <v>0</v>
      </c>
      <c r="F21" s="240">
        <f t="shared" si="1"/>
        <v>0</v>
      </c>
      <c r="G21" s="225">
        <f>'D. Growth Plan'!J21</f>
        <v>0</v>
      </c>
      <c r="H21" s="240">
        <f t="shared" si="2"/>
        <v>0</v>
      </c>
      <c r="I21" s="225">
        <f>'D. Growth Plan'!M21</f>
        <v>0</v>
      </c>
      <c r="J21" s="240">
        <f t="shared" si="3"/>
        <v>0</v>
      </c>
      <c r="K21" s="225">
        <f>'D. Growth Plan'!P21</f>
        <v>0</v>
      </c>
      <c r="L21" s="244">
        <f t="shared" si="4"/>
        <v>0</v>
      </c>
      <c r="N21" s="226"/>
    </row>
    <row r="22" spans="1:14" ht="15" customHeight="1" thickBot="1" x14ac:dyDescent="0.25">
      <c r="B22" s="220" t="s">
        <v>22</v>
      </c>
      <c r="C22" s="225">
        <f>'A. History Input &amp; Output'!O22*(1+'D. Growth Plan'!C22)+'D. Growth Plan'!D22</f>
        <v>26933.024999999998</v>
      </c>
      <c r="D22" s="240">
        <f t="shared" si="0"/>
        <v>1.9536110359613043E-2</v>
      </c>
      <c r="E22" s="225">
        <f>'E. Output'!C22*(1+'D. Growth Plan'!F22)+'D. Growth Plan'!G22</f>
        <v>27337.020374999996</v>
      </c>
      <c r="F22" s="240">
        <f t="shared" si="1"/>
        <v>1.9851871518395275E-2</v>
      </c>
      <c r="G22" s="225">
        <f>'E. Output'!E22*(1+'D. Growth Plan'!I22)+'D. Growth Plan'!J22</f>
        <v>27747.075680624992</v>
      </c>
      <c r="H22" s="240">
        <f t="shared" si="2"/>
        <v>1.9851555061451094E-2</v>
      </c>
      <c r="I22" s="225">
        <f>'E. Output'!G22*(1+'D. Growth Plan'!L22)+'D. Growth Plan'!M22</f>
        <v>28163.281815834365</v>
      </c>
      <c r="J22" s="240">
        <f t="shared" si="3"/>
        <v>1.9923104151707713E-2</v>
      </c>
      <c r="K22" s="225">
        <f>'E. Output'!I22*(1+'D. Growth Plan'!O22)+'D. Growth Plan'!P22</f>
        <v>28585.731043071879</v>
      </c>
      <c r="L22" s="244">
        <f t="shared" si="4"/>
        <v>1.9992778641754722E-2</v>
      </c>
      <c r="N22" s="226"/>
    </row>
    <row r="23" spans="1:14" ht="15" customHeight="1" thickBot="1" x14ac:dyDescent="0.25">
      <c r="B23" s="220" t="s">
        <v>23</v>
      </c>
      <c r="C23" s="225">
        <f>'A. History Input &amp; Output'!O25*(1+'D. Growth Plan'!C23)+'D. Growth Plan'!D23</f>
        <v>39899.649999999994</v>
      </c>
      <c r="D23" s="240">
        <f t="shared" si="0"/>
        <v>2.8941567674256211E-2</v>
      </c>
      <c r="E23" s="225">
        <f>'E. Output'!C25*(1+'D. Growth Plan'!F23)+'D. Growth Plan'!G23</f>
        <v>40498.144749999992</v>
      </c>
      <c r="F23" s="240">
        <f t="shared" si="1"/>
        <v>2.9409348761564657E-2</v>
      </c>
      <c r="G23" s="225">
        <f>'E. Output'!E25*(1+'D. Growth Plan'!I23)+'D. Growth Plan'!J23</f>
        <v>41105.616921249988</v>
      </c>
      <c r="H23" s="240">
        <f t="shared" si="2"/>
        <v>2.9408879949713307E-2</v>
      </c>
      <c r="I23" s="225">
        <f>'E. Output'!G25*(1+'D. Growth Plan'!L23)+'D. Growth Plan'!M23</f>
        <v>41722.201175068731</v>
      </c>
      <c r="J23" s="240">
        <f t="shared" si="3"/>
        <v>2.9514875605940457E-2</v>
      </c>
      <c r="K23" s="225">
        <f>'E. Output'!I25*(1+'D. Growth Plan'!O23)+'D. Growth Plan'!P23</f>
        <v>42144.423186819418</v>
      </c>
      <c r="L23" s="244">
        <f t="shared" si="4"/>
        <v>2.9475689199235183E-2</v>
      </c>
      <c r="N23" s="226"/>
    </row>
    <row r="24" spans="1:14" ht="15" customHeight="1" thickBot="1" x14ac:dyDescent="0.25">
      <c r="B24" s="220" t="s">
        <v>49</v>
      </c>
      <c r="C24" s="225">
        <f>'D. Growth Plan'!D24</f>
        <v>0</v>
      </c>
      <c r="D24" s="240">
        <f t="shared" si="0"/>
        <v>0</v>
      </c>
      <c r="E24" s="225">
        <f>'D. Growth Plan'!G24</f>
        <v>0</v>
      </c>
      <c r="F24" s="240">
        <f t="shared" si="1"/>
        <v>0</v>
      </c>
      <c r="G24" s="225">
        <f>'D. Growth Plan'!J24</f>
        <v>0</v>
      </c>
      <c r="H24" s="240">
        <f t="shared" si="2"/>
        <v>0</v>
      </c>
      <c r="I24" s="225">
        <f>'D. Growth Plan'!M24</f>
        <v>0</v>
      </c>
      <c r="J24" s="240">
        <f t="shared" si="3"/>
        <v>0</v>
      </c>
      <c r="K24" s="225">
        <f>'D. Growth Plan'!P24</f>
        <v>0</v>
      </c>
      <c r="L24" s="244">
        <f t="shared" si="4"/>
        <v>0</v>
      </c>
      <c r="N24" s="226"/>
    </row>
    <row r="25" spans="1:14" ht="15" customHeight="1" thickBot="1" x14ac:dyDescent="0.25">
      <c r="B25" s="220" t="s">
        <v>178</v>
      </c>
      <c r="C25" s="231">
        <f>C23-C24</f>
        <v>39899.649999999994</v>
      </c>
      <c r="D25" s="240">
        <f t="shared" si="0"/>
        <v>2.8941567674256211E-2</v>
      </c>
      <c r="E25" s="231">
        <f>E23-E24</f>
        <v>40498.144749999992</v>
      </c>
      <c r="F25" s="240">
        <f t="shared" si="1"/>
        <v>2.9409348761564657E-2</v>
      </c>
      <c r="G25" s="231">
        <f>G23-G24</f>
        <v>41105.616921249988</v>
      </c>
      <c r="H25" s="240">
        <f t="shared" si="2"/>
        <v>2.9408879949713307E-2</v>
      </c>
      <c r="I25" s="231">
        <f>I23-I24</f>
        <v>41722.201175068731</v>
      </c>
      <c r="J25" s="240">
        <f t="shared" si="3"/>
        <v>2.9514875605940457E-2</v>
      </c>
      <c r="K25" s="231">
        <f>K23-K24</f>
        <v>42144.423186819418</v>
      </c>
      <c r="L25" s="244">
        <f t="shared" si="4"/>
        <v>2.9475689199235183E-2</v>
      </c>
      <c r="N25" s="226"/>
    </row>
    <row r="26" spans="1:14" ht="15" customHeight="1" x14ac:dyDescent="0.2">
      <c r="B26" s="220" t="s">
        <v>24</v>
      </c>
      <c r="C26" s="227">
        <f>'A. History Input &amp; Output'!O26*(1+'D. Growth Plan'!C26)+'D. Growth Plan'!D26</f>
        <v>600</v>
      </c>
      <c r="D26" s="240">
        <f t="shared" si="0"/>
        <v>4.3521536165238867E-4</v>
      </c>
      <c r="E26" s="227">
        <f>'E. Output'!C26*(1+'D. Growth Plan'!F26)+'D. Growth Plan'!G26</f>
        <v>600</v>
      </c>
      <c r="F26" s="240">
        <f t="shared" si="1"/>
        <v>4.3571401519420952E-4</v>
      </c>
      <c r="G26" s="227">
        <f>'E. Output'!E26*(1+'D. Growth Plan'!I26)+'D. Growth Plan'!J26</f>
        <v>600</v>
      </c>
      <c r="H26" s="240">
        <f t="shared" si="2"/>
        <v>4.2926804878352383E-4</v>
      </c>
      <c r="I26" s="227">
        <f>'E. Output'!G26*(1+'D. Growth Plan'!L26)+'D. Growth Plan'!M26</f>
        <v>600</v>
      </c>
      <c r="J26" s="240">
        <f t="shared" si="3"/>
        <v>4.2444849180551657E-4</v>
      </c>
      <c r="K26" s="227">
        <f>'E. Output'!I26*(1+'D. Growth Plan'!O26)+'D. Growth Plan'!P26</f>
        <v>600</v>
      </c>
      <c r="L26" s="244">
        <f t="shared" si="4"/>
        <v>4.1963828621273397E-4</v>
      </c>
      <c r="N26" s="226"/>
    </row>
    <row r="27" spans="1:14" s="230" customFormat="1" ht="15" customHeight="1" x14ac:dyDescent="0.2">
      <c r="B27" s="232" t="s">
        <v>35</v>
      </c>
      <c r="C27" s="229">
        <f>SUM(C18:C22)+C26+C25</f>
        <v>778948.80790175009</v>
      </c>
      <c r="D27" s="241">
        <f t="shared" si="0"/>
        <v>0.5650174785660953</v>
      </c>
      <c r="E27" s="229">
        <f>SUM(E18:E22)+E26+E25</f>
        <v>768122.66529106989</v>
      </c>
      <c r="F27" s="241">
        <f t="shared" si="1"/>
        <v>0.55780301775941654</v>
      </c>
      <c r="G27" s="229">
        <f>SUM(G18:G22)+G26+G25</f>
        <v>779274.87578106148</v>
      </c>
      <c r="H27" s="241">
        <f t="shared" si="2"/>
        <v>0.55752967565426526</v>
      </c>
      <c r="I27" s="229">
        <f>SUM(I18:I22)+I26+I25</f>
        <v>785334.29900123971</v>
      </c>
      <c r="J27" s="241">
        <f t="shared" si="3"/>
        <v>0.55555659795703138</v>
      </c>
      <c r="K27" s="229">
        <f>SUM(K18:K22)+K26+K25</f>
        <v>791432.07763046247</v>
      </c>
      <c r="L27" s="245">
        <f t="shared" si="4"/>
        <v>0.5535253345177179</v>
      </c>
      <c r="N27" s="226"/>
    </row>
    <row r="28" spans="1:14" ht="15" customHeight="1" x14ac:dyDescent="0.2">
      <c r="B28" s="220" t="s">
        <v>25</v>
      </c>
      <c r="C28" s="227">
        <f>'A. History Input &amp; Output'!O28*(1+'D. Growth Plan'!C28)+'D. Growth Plan'!D28</f>
        <v>0</v>
      </c>
      <c r="D28" s="240">
        <f t="shared" si="0"/>
        <v>0</v>
      </c>
      <c r="E28" s="227">
        <f>'E. Output'!C28*(1+'D. Growth Plan'!F28)+'D. Growth Plan'!G28</f>
        <v>0</v>
      </c>
      <c r="F28" s="240">
        <f t="shared" si="1"/>
        <v>0</v>
      </c>
      <c r="G28" s="227">
        <f>'E. Output'!E28*(1+'D. Growth Plan'!I28)+'D. Growth Plan'!J28</f>
        <v>0</v>
      </c>
      <c r="H28" s="240">
        <f t="shared" si="2"/>
        <v>0</v>
      </c>
      <c r="I28" s="227">
        <f>'E. Output'!G28*(1+'D. Growth Plan'!L28)+'D. Growth Plan'!M28</f>
        <v>0</v>
      </c>
      <c r="J28" s="240">
        <f t="shared" si="3"/>
        <v>0</v>
      </c>
      <c r="K28" s="227">
        <f>'E. Output'!I28*(1+'D. Growth Plan'!O28)+'D. Growth Plan'!P28</f>
        <v>0</v>
      </c>
      <c r="L28" s="244">
        <f t="shared" si="4"/>
        <v>0</v>
      </c>
      <c r="N28" s="226"/>
    </row>
    <row r="29" spans="1:14" s="230" customFormat="1" ht="15" customHeight="1" thickBot="1" x14ac:dyDescent="0.25">
      <c r="A29" s="233" t="s">
        <v>37</v>
      </c>
      <c r="B29" s="233"/>
      <c r="C29" s="234">
        <f>C14+C17+C27+C28</f>
        <v>1378627.8079017501</v>
      </c>
      <c r="D29" s="242">
        <v>1</v>
      </c>
      <c r="E29" s="234">
        <f>E14+E17+E27+E28</f>
        <v>1377050.0352910699</v>
      </c>
      <c r="F29" s="242">
        <v>1</v>
      </c>
      <c r="G29" s="234">
        <f>G14+G17+G27+G28</f>
        <v>1397728.0668810615</v>
      </c>
      <c r="H29" s="242">
        <v>1</v>
      </c>
      <c r="I29" s="234">
        <f>I14+I17+I27+I28</f>
        <v>1413599.0858342396</v>
      </c>
      <c r="J29" s="242">
        <v>1</v>
      </c>
      <c r="K29" s="234">
        <f>K14+K17+K27+K28</f>
        <v>1429802.8080684524</v>
      </c>
      <c r="L29" s="246">
        <v>1</v>
      </c>
      <c r="N29" s="226"/>
    </row>
    <row r="30" spans="1:14" ht="7" customHeight="1" thickTop="1" x14ac:dyDescent="0.2">
      <c r="C30" s="235"/>
      <c r="D30" s="243"/>
      <c r="E30" s="235"/>
      <c r="F30" s="243"/>
      <c r="G30" s="235"/>
      <c r="H30" s="243"/>
      <c r="I30" s="235"/>
      <c r="J30" s="243"/>
      <c r="K30" s="235"/>
      <c r="L30" s="247"/>
    </row>
    <row r="31" spans="1:14" ht="15" customHeight="1" x14ac:dyDescent="0.2">
      <c r="A31" s="221" t="s">
        <v>38</v>
      </c>
      <c r="C31" s="235"/>
      <c r="D31" s="243"/>
      <c r="E31" s="235"/>
      <c r="F31" s="243"/>
      <c r="G31" s="235"/>
      <c r="H31" s="243"/>
      <c r="I31" s="235"/>
      <c r="J31" s="243"/>
      <c r="K31" s="235"/>
      <c r="L31" s="247"/>
    </row>
    <row r="32" spans="1:14" ht="6" customHeight="1" thickBot="1" x14ac:dyDescent="0.25">
      <c r="A32" s="221"/>
      <c r="C32" s="236"/>
      <c r="D32" s="240"/>
      <c r="E32" s="236"/>
      <c r="F32" s="240"/>
      <c r="G32" s="236"/>
      <c r="H32" s="240"/>
      <c r="I32" s="236"/>
      <c r="J32" s="240"/>
      <c r="K32" s="236"/>
      <c r="L32" s="244"/>
    </row>
    <row r="33" spans="1:14" ht="15" customHeight="1" thickBot="1" x14ac:dyDescent="0.25">
      <c r="B33" s="220" t="s">
        <v>26</v>
      </c>
      <c r="C33" s="225">
        <f>'A. History Input &amp; Output'!O33*(1+'D. Growth Plan'!C33)+'D. Growth Plan'!D33</f>
        <v>632735.18000000005</v>
      </c>
      <c r="D33" s="240">
        <f>C33/C$37</f>
        <v>0.63038395501307354</v>
      </c>
      <c r="E33" s="225">
        <f>'E. Output'!C33*(1+'D. Growth Plan'!F33)+'D. Growth Plan'!G33</f>
        <v>651717.23540000012</v>
      </c>
      <c r="F33" s="240">
        <f>E33/E$37</f>
        <v>0.63151705616181308</v>
      </c>
      <c r="G33" s="225">
        <f>'E. Output'!E33*(1+'D. Growth Plan'!I33)+'D. Growth Plan'!J33</f>
        <v>671268.75246200012</v>
      </c>
      <c r="H33" s="240">
        <f>G33/G$37</f>
        <v>0.63264870790114736</v>
      </c>
      <c r="I33" s="225">
        <f>'E. Output'!G33*(1+'D. Growth Plan'!L33)+'D. Growth Plan'!M33</f>
        <v>691406.81503586017</v>
      </c>
      <c r="J33" s="240">
        <f>I33/I$37</f>
        <v>0.63377889963749101</v>
      </c>
      <c r="K33" s="225">
        <f>'E. Output'!I33*(1+'D. Growth Plan'!O33)+'D. Growth Plan'!P33</f>
        <v>712149.01948693604</v>
      </c>
      <c r="L33" s="244">
        <f>K33/K$37</f>
        <v>0.6349076208391039</v>
      </c>
      <c r="N33" s="226"/>
    </row>
    <row r="34" spans="1:14" ht="15" customHeight="1" thickBot="1" x14ac:dyDescent="0.25">
      <c r="B34" s="220" t="s">
        <v>27</v>
      </c>
      <c r="C34" s="225">
        <f>'A. History Input &amp; Output'!O34*(1+'D. Growth Plan'!C34)+'D. Growth Plan'!D34-'A. History Input &amp; Output'!O35</f>
        <v>370994.64999999997</v>
      </c>
      <c r="D34" s="240">
        <f>C34/C$37</f>
        <v>0.36961604498692635</v>
      </c>
      <c r="E34" s="225">
        <f>'E. Output'!C34*(1+'D. Growth Plan'!F34)+'D. Growth Plan'!G34</f>
        <v>380269.51624999993</v>
      </c>
      <c r="F34" s="240">
        <f>E34/E$37</f>
        <v>0.36848294383818697</v>
      </c>
      <c r="G34" s="225">
        <f>'E. Output'!E34*(1+'D. Growth Plan'!I34)+'D. Growth Plan'!J34</f>
        <v>389776.25415624987</v>
      </c>
      <c r="H34" s="240">
        <f>G34/G$37</f>
        <v>0.36735129209885276</v>
      </c>
      <c r="I34" s="225">
        <f>'E. Output'!G34*(1+'D. Growth Plan'!L34)+'D. Growth Plan'!M34</f>
        <v>399520.66051015607</v>
      </c>
      <c r="J34" s="240">
        <f>I34/I$37</f>
        <v>0.36622110036250882</v>
      </c>
      <c r="K34" s="225">
        <f>'E. Output'!I34*(1+'D. Growth Plan'!O34)+'D. Growth Plan'!P34</f>
        <v>409508.67702290992</v>
      </c>
      <c r="L34" s="244">
        <f>K34/K$37</f>
        <v>0.36509237916089599</v>
      </c>
      <c r="N34" s="226"/>
    </row>
    <row r="35" spans="1:14" ht="14" customHeight="1" thickBot="1" x14ac:dyDescent="0.25">
      <c r="B35" s="220" t="s">
        <v>50</v>
      </c>
      <c r="C35" s="225">
        <f>C24</f>
        <v>0</v>
      </c>
      <c r="D35" s="240"/>
      <c r="E35" s="225">
        <f>E24</f>
        <v>0</v>
      </c>
      <c r="F35" s="240"/>
      <c r="G35" s="225">
        <f>G24</f>
        <v>0</v>
      </c>
      <c r="H35" s="240"/>
      <c r="I35" s="225">
        <f>I24</f>
        <v>0</v>
      </c>
      <c r="J35" s="240"/>
      <c r="K35" s="225">
        <f>K24</f>
        <v>0</v>
      </c>
      <c r="L35" s="244"/>
      <c r="N35" s="226"/>
    </row>
    <row r="36" spans="1:14" ht="15" customHeight="1" x14ac:dyDescent="0.2">
      <c r="B36" s="220" t="s">
        <v>30</v>
      </c>
      <c r="C36" s="227">
        <f>C34-C35</f>
        <v>370994.64999999997</v>
      </c>
      <c r="D36" s="240"/>
      <c r="E36" s="227">
        <f>E34-E35</f>
        <v>380269.51624999993</v>
      </c>
      <c r="F36" s="240"/>
      <c r="G36" s="227">
        <f>G34-G35</f>
        <v>389776.25415624987</v>
      </c>
      <c r="H36" s="240"/>
      <c r="I36" s="227">
        <f>I34-I35</f>
        <v>399520.66051015607</v>
      </c>
      <c r="J36" s="240"/>
      <c r="K36" s="227">
        <f>K34-K35</f>
        <v>409508.67702290992</v>
      </c>
      <c r="L36" s="244"/>
      <c r="N36" s="226"/>
    </row>
    <row r="37" spans="1:14" s="230" customFormat="1" ht="15" customHeight="1" thickBot="1" x14ac:dyDescent="0.25">
      <c r="A37" s="233" t="s">
        <v>70</v>
      </c>
      <c r="B37" s="233"/>
      <c r="C37" s="234">
        <f>C33+C36</f>
        <v>1003729.8300000001</v>
      </c>
      <c r="D37" s="242">
        <v>1</v>
      </c>
      <c r="E37" s="234">
        <f>E33+E36</f>
        <v>1031986.75165</v>
      </c>
      <c r="F37" s="242">
        <v>1</v>
      </c>
      <c r="G37" s="234">
        <f>G33+G36</f>
        <v>1061045.0066182499</v>
      </c>
      <c r="H37" s="242">
        <v>1</v>
      </c>
      <c r="I37" s="234">
        <f>I33+I36</f>
        <v>1090927.4755460164</v>
      </c>
      <c r="J37" s="242">
        <v>1</v>
      </c>
      <c r="K37" s="234">
        <f>K33+K36</f>
        <v>1121657.696509846</v>
      </c>
      <c r="L37" s="246">
        <v>1</v>
      </c>
      <c r="N37" s="226"/>
    </row>
    <row r="38" spans="1:14" s="230" customFormat="1" ht="15" customHeight="1" thickTop="1" x14ac:dyDescent="0.2">
      <c r="A38" s="230" t="s">
        <v>71</v>
      </c>
      <c r="B38" s="248"/>
      <c r="C38" s="249">
        <f>C29-C37</f>
        <v>374897.97790175001</v>
      </c>
      <c r="D38" s="250"/>
      <c r="E38" s="249">
        <f>E29-E37</f>
        <v>345063.28364106989</v>
      </c>
      <c r="F38" s="251"/>
      <c r="G38" s="249">
        <f>G29-G37</f>
        <v>336683.0602628116</v>
      </c>
      <c r="H38" s="251"/>
      <c r="I38" s="249">
        <f>I29-I37</f>
        <v>322671.61028822325</v>
      </c>
      <c r="J38" s="251"/>
      <c r="K38" s="249">
        <f>K29-K37</f>
        <v>308145.11155860638</v>
      </c>
      <c r="L38" s="237"/>
    </row>
    <row r="39" spans="1:14" ht="15" customHeight="1" x14ac:dyDescent="0.2">
      <c r="A39" s="230" t="s">
        <v>9</v>
      </c>
      <c r="C39" s="238">
        <f>'A. History Input &amp; Output'!O44</f>
        <v>372992.09</v>
      </c>
      <c r="D39" s="239"/>
      <c r="E39" s="238">
        <f>C41</f>
        <v>747890.0679017501</v>
      </c>
      <c r="F39" s="239"/>
      <c r="G39" s="238">
        <f>E41</f>
        <v>1092953.35154282</v>
      </c>
      <c r="H39" s="239"/>
      <c r="I39" s="238">
        <f>G41</f>
        <v>1429636.4118056316</v>
      </c>
      <c r="J39" s="239"/>
      <c r="K39" s="238">
        <f>I41</f>
        <v>1752308.0220938548</v>
      </c>
    </row>
    <row r="40" spans="1:14" ht="15" customHeight="1" thickBot="1" x14ac:dyDescent="0.25">
      <c r="A40" s="230"/>
      <c r="B40" s="220" t="s">
        <v>31</v>
      </c>
      <c r="C40" s="225"/>
      <c r="D40" s="239"/>
      <c r="E40" s="225"/>
      <c r="F40" s="239"/>
      <c r="G40" s="225"/>
      <c r="H40" s="239"/>
      <c r="I40" s="225"/>
      <c r="J40" s="239"/>
      <c r="K40" s="225"/>
    </row>
    <row r="41" spans="1:14" ht="15" customHeight="1" x14ac:dyDescent="0.2">
      <c r="A41" s="230" t="s">
        <v>10</v>
      </c>
      <c r="C41" s="238">
        <f>C38+C39-C40</f>
        <v>747890.0679017501</v>
      </c>
      <c r="D41" s="239"/>
      <c r="E41" s="238">
        <f>E38+E39-E40</f>
        <v>1092953.35154282</v>
      </c>
      <c r="F41" s="239"/>
      <c r="G41" s="238">
        <f>G38+G39-G40</f>
        <v>1429636.4118056316</v>
      </c>
      <c r="H41" s="239"/>
      <c r="I41" s="238">
        <f>I38+I39-I40</f>
        <v>1752308.0220938548</v>
      </c>
      <c r="J41" s="239"/>
      <c r="K41" s="238">
        <f>K38+K39-K40</f>
        <v>2060453.1336524612</v>
      </c>
    </row>
    <row r="42" spans="1:14" ht="14" customHeight="1" x14ac:dyDescent="0.2"/>
    <row r="43" spans="1:14" customFormat="1" ht="14" customHeight="1" x14ac:dyDescent="0.15"/>
    <row r="44" spans="1:14" customFormat="1" ht="14" customHeight="1" x14ac:dyDescent="0.15"/>
    <row r="45" spans="1:14" customFormat="1" ht="14" customHeight="1" x14ac:dyDescent="0.15"/>
    <row r="46" spans="1:14" customFormat="1" ht="14" customHeight="1" x14ac:dyDescent="0.15"/>
    <row r="47" spans="1:14" customFormat="1" ht="14" customHeight="1" x14ac:dyDescent="0.15"/>
    <row r="48" spans="1:14" customFormat="1" ht="24" customHeight="1" x14ac:dyDescent="0.15"/>
    <row r="49" ht="14" customHeight="1" x14ac:dyDescent="0.2"/>
    <row r="50" ht="14" customHeight="1" x14ac:dyDescent="0.2"/>
    <row r="51" ht="14" customHeight="1" x14ac:dyDescent="0.2"/>
    <row r="52" ht="14" customHeight="1" x14ac:dyDescent="0.2"/>
    <row r="53" ht="14" customHeight="1" x14ac:dyDescent="0.2"/>
  </sheetData>
  <mergeCells count="1">
    <mergeCell ref="A3:L3"/>
  </mergeCells>
  <phoneticPr fontId="2" type="noConversion"/>
  <printOptions horizontalCentered="1" verticalCentered="1" gridLines="1"/>
  <pageMargins left="0.45" right="0.45" top="1" bottom="1" header="0.5" footer="0.5"/>
  <pageSetup scale="72" orientation="landscape"/>
  <headerFooter alignWithMargins="0">
    <oddFooter>&amp;C&amp;8&amp;D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Instructions</vt:lpstr>
      <vt:lpstr>Color Guide</vt:lpstr>
      <vt:lpstr>Setup</vt:lpstr>
      <vt:lpstr>Membership History and Planning</vt:lpstr>
      <vt:lpstr>A. History Input &amp; Output</vt:lpstr>
      <vt:lpstr>B. Historical Growth</vt:lpstr>
      <vt:lpstr>C. Endowment Investments</vt:lpstr>
      <vt:lpstr>D. Growth Plan</vt:lpstr>
      <vt:lpstr>E. Output</vt:lpstr>
      <vt:lpstr>Sheet1</vt:lpstr>
      <vt:lpstr>'A. History Input &amp; Output'!Print_Area</vt:lpstr>
      <vt:lpstr>'B. Historical Growth'!Print_Area</vt:lpstr>
      <vt:lpstr>'C. Endowment Investments'!Print_Area</vt:lpstr>
      <vt:lpstr>'D. Growth Plan'!Print_Area</vt:lpstr>
      <vt:lpstr>'E. Output'!Print_Area</vt:lpstr>
      <vt:lpstr>Instructions!Print_Area</vt:lpstr>
      <vt:lpstr>'Membership History and Planning'!Print_Area</vt:lpstr>
      <vt:lpstr>Setup!Print_Area</vt:lpstr>
    </vt:vector>
  </TitlesOfParts>
  <Company>bsa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Rand</dc:creator>
  <cp:lastModifiedBy>Rick Clark</cp:lastModifiedBy>
  <cp:lastPrinted>2020-04-23T20:31:00Z</cp:lastPrinted>
  <dcterms:created xsi:type="dcterms:W3CDTF">2012-06-28T13:52:30Z</dcterms:created>
  <dcterms:modified xsi:type="dcterms:W3CDTF">2020-04-23T20:34:44Z</dcterms:modified>
</cp:coreProperties>
</file>